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20730" windowHeight="9315" tabRatio="880" activeTab="8"/>
  </bookViews>
  <sheets>
    <sheet name="დიაბეტი" sheetId="6" r:id="rId1"/>
    <sheet name="ინკურაბელური" sheetId="7" r:id="rId2"/>
    <sheet name="დიალიზი" sheetId="8" r:id="rId3"/>
    <sheet name="იშვიათი" sheetId="9" r:id="rId4"/>
    <sheet name="ნარკომანია" sheetId="10" r:id="rId5"/>
    <sheet name="დედათა და ბავშვთა" sheetId="11" r:id="rId6"/>
    <sheet name="HCV" sheetId="12" r:id="rId7"/>
    <sheet name="დეფიციტი პროფიციტი" sheetId="13" r:id="rId8"/>
    <sheet name="2017 ბიუჯეტი" sheetId="14" r:id="rId9"/>
    <sheet name="ჰემოფილია ჩემი" sheetId="15" r:id="rId10"/>
  </sheets>
  <calcPr calcId="145621"/>
</workbook>
</file>

<file path=xl/calcChain.xml><?xml version="1.0" encoding="utf-8"?>
<calcChain xmlns="http://schemas.openxmlformats.org/spreadsheetml/2006/main">
  <c r="N27" i="14" l="1"/>
  <c r="N25" i="14"/>
  <c r="N21" i="14"/>
  <c r="N18" i="14"/>
  <c r="N19" i="14"/>
  <c r="N20" i="14"/>
  <c r="N17" i="14"/>
  <c r="N13" i="14"/>
  <c r="N6" i="14"/>
  <c r="N7" i="14"/>
  <c r="N8" i="14"/>
  <c r="N9" i="14"/>
  <c r="N10" i="14"/>
  <c r="N11" i="14"/>
  <c r="N12" i="14"/>
  <c r="N5" i="14"/>
  <c r="N47" i="14" l="1"/>
  <c r="N46" i="14"/>
  <c r="N42" i="14"/>
  <c r="N38" i="14"/>
  <c r="K47" i="14"/>
  <c r="M33" i="14"/>
  <c r="N33" i="14" s="1"/>
  <c r="M34" i="14"/>
  <c r="N34" i="14" s="1"/>
  <c r="M35" i="14"/>
  <c r="N35" i="14"/>
  <c r="L34" i="14"/>
  <c r="L35" i="14"/>
  <c r="N32" i="14"/>
  <c r="N36" i="14"/>
  <c r="N37" i="14"/>
  <c r="L37" i="14"/>
  <c r="K37" i="14"/>
  <c r="N92" i="14" l="1"/>
  <c r="N91" i="14"/>
  <c r="N90" i="14"/>
  <c r="N87" i="14"/>
  <c r="N84" i="14"/>
  <c r="N85" i="14"/>
  <c r="N86" i="14"/>
  <c r="N83" i="14"/>
  <c r="N80" i="14"/>
  <c r="N74" i="14"/>
  <c r="N75" i="14"/>
  <c r="N76" i="14"/>
  <c r="N77" i="14"/>
  <c r="N78" i="14"/>
  <c r="N73" i="14"/>
  <c r="L73" i="14"/>
  <c r="N53" i="14"/>
  <c r="N57" i="14"/>
  <c r="N64" i="14"/>
  <c r="N70" i="14"/>
  <c r="N69" i="14"/>
  <c r="N68" i="14"/>
  <c r="N67" i="14"/>
  <c r="N61" i="14"/>
  <c r="N56" i="14"/>
  <c r="N52" i="14"/>
  <c r="R8" i="15" l="1"/>
  <c r="R6" i="15"/>
  <c r="N6" i="15"/>
  <c r="Q6" i="15"/>
  <c r="S6" i="15" s="1"/>
  <c r="M5" i="15"/>
  <c r="K6" i="15"/>
  <c r="K9" i="15"/>
  <c r="K10" i="15"/>
  <c r="D6" i="15"/>
  <c r="D10" i="15"/>
  <c r="G6" i="15"/>
  <c r="I6" i="15" s="1"/>
  <c r="G7" i="15"/>
  <c r="K7" i="15" s="1"/>
  <c r="G8" i="15"/>
  <c r="K8" i="15" s="1"/>
  <c r="G9" i="15"/>
  <c r="I9" i="15" s="1"/>
  <c r="G10" i="15"/>
  <c r="I10" i="15" s="1"/>
  <c r="G5" i="15"/>
  <c r="K5" i="15" s="1"/>
  <c r="Q10" i="15"/>
  <c r="S10" i="15" s="1"/>
  <c r="O10" i="15"/>
  <c r="M10" i="15"/>
  <c r="N10" i="15" s="1"/>
  <c r="Q9" i="15"/>
  <c r="O9" i="15"/>
  <c r="M9" i="15"/>
  <c r="N9" i="15" s="1"/>
  <c r="C9" i="15"/>
  <c r="D9" i="15" s="1"/>
  <c r="Q8" i="15"/>
  <c r="S8" i="15" s="1"/>
  <c r="O8" i="15"/>
  <c r="M8" i="15"/>
  <c r="N8" i="15" s="1"/>
  <c r="Q7" i="15"/>
  <c r="S7" i="15" s="1"/>
  <c r="O7" i="15"/>
  <c r="M7" i="15"/>
  <c r="N7" i="15" s="1"/>
  <c r="O6" i="15"/>
  <c r="M6" i="15"/>
  <c r="Q5" i="15"/>
  <c r="S5" i="15" s="1"/>
  <c r="O5" i="15"/>
  <c r="N5" i="15"/>
  <c r="P10" i="15" l="1"/>
  <c r="R10" i="15"/>
  <c r="T10" i="15" s="1"/>
  <c r="P6" i="15"/>
  <c r="T6" i="15"/>
  <c r="P9" i="15"/>
  <c r="R9" i="15"/>
  <c r="T9" i="15" s="1"/>
  <c r="I8" i="15"/>
  <c r="S9" i="15"/>
  <c r="I5" i="15"/>
  <c r="I7" i="15"/>
  <c r="D8" i="15"/>
  <c r="D5" i="15"/>
  <c r="D7" i="15"/>
  <c r="K5" i="14"/>
  <c r="O5" i="14" s="1"/>
  <c r="T8" i="15" l="1"/>
  <c r="P8" i="15"/>
  <c r="R7" i="15"/>
  <c r="T7" i="15" s="1"/>
  <c r="P7" i="15"/>
  <c r="R5" i="15"/>
  <c r="T5" i="15" s="1"/>
  <c r="P5" i="15"/>
  <c r="C112" i="14"/>
  <c r="O112" i="14" s="1"/>
  <c r="O52" i="14"/>
  <c r="O34" i="14"/>
  <c r="O35" i="14"/>
  <c r="O36" i="14"/>
  <c r="O33" i="14"/>
  <c r="O10" i="14"/>
  <c r="K110" i="14"/>
  <c r="O110" i="14" s="1"/>
  <c r="K111" i="14"/>
  <c r="O111" i="14" s="1"/>
  <c r="K103" i="14"/>
  <c r="O103" i="14" s="1"/>
  <c r="K102" i="14"/>
  <c r="O102" i="14" s="1"/>
  <c r="K101" i="14"/>
  <c r="O101" i="14" s="1"/>
  <c r="K100" i="14"/>
  <c r="K98" i="14"/>
  <c r="O98" i="14" s="1"/>
  <c r="K99" i="14"/>
  <c r="O99" i="14" s="1"/>
  <c r="K97" i="14"/>
  <c r="O97" i="14" s="1"/>
  <c r="K90" i="14"/>
  <c r="O90" i="14" s="1"/>
  <c r="K86" i="14"/>
  <c r="O86" i="14" s="1"/>
  <c r="K85" i="14"/>
  <c r="O85" i="14" s="1"/>
  <c r="K68" i="14"/>
  <c r="O68" i="14" s="1"/>
  <c r="K84" i="14"/>
  <c r="O84" i="14" s="1"/>
  <c r="K83" i="14"/>
  <c r="O83" i="14" s="1"/>
  <c r="K78" i="14"/>
  <c r="O78" i="14" s="1"/>
  <c r="K77" i="14"/>
  <c r="K76" i="14"/>
  <c r="O76" i="14" s="1"/>
  <c r="K75" i="14"/>
  <c r="O75" i="14" s="1"/>
  <c r="K74" i="14"/>
  <c r="O74" i="14" s="1"/>
  <c r="K73" i="14"/>
  <c r="O73" i="14" s="1"/>
  <c r="K69" i="14"/>
  <c r="O69" i="14" s="1"/>
  <c r="K67" i="14"/>
  <c r="O67" i="14" s="1"/>
  <c r="K61" i="14"/>
  <c r="O61" i="14" s="1"/>
  <c r="K56" i="14"/>
  <c r="O56" i="14" s="1"/>
  <c r="O70" i="14" l="1"/>
  <c r="O92" i="14" s="1"/>
  <c r="O37" i="14"/>
  <c r="O38" i="14" s="1"/>
  <c r="K25" i="14"/>
  <c r="O25" i="14" s="1"/>
  <c r="K19" i="14"/>
  <c r="K18" i="14"/>
  <c r="K9" i="14"/>
  <c r="K8" i="14"/>
  <c r="K7" i="14"/>
  <c r="K6" i="14"/>
  <c r="O6" i="14" s="1"/>
  <c r="J119" i="14"/>
  <c r="J120" i="14"/>
  <c r="J118" i="14"/>
  <c r="J111" i="14"/>
  <c r="J112" i="14"/>
  <c r="J110" i="14"/>
  <c r="J98" i="14"/>
  <c r="J99" i="14"/>
  <c r="J100" i="14"/>
  <c r="J101" i="14"/>
  <c r="J102" i="14"/>
  <c r="J103" i="14"/>
  <c r="J97" i="14"/>
  <c r="J90" i="14"/>
  <c r="J84" i="14"/>
  <c r="J85" i="14"/>
  <c r="J86" i="14"/>
  <c r="J83" i="14"/>
  <c r="J74" i="14"/>
  <c r="J75" i="14"/>
  <c r="J76" i="14"/>
  <c r="J77" i="14"/>
  <c r="J78" i="14"/>
  <c r="J73" i="14"/>
  <c r="J68" i="14"/>
  <c r="J69" i="14"/>
  <c r="J67" i="14"/>
  <c r="J61" i="14"/>
  <c r="J62" i="14"/>
  <c r="J63" i="14"/>
  <c r="J60" i="14"/>
  <c r="J56" i="14"/>
  <c r="J52" i="14"/>
  <c r="J45" i="14"/>
  <c r="J41" i="14"/>
  <c r="J34" i="14"/>
  <c r="J35" i="14"/>
  <c r="J36" i="14"/>
  <c r="J37" i="14"/>
  <c r="J33" i="14"/>
  <c r="J25" i="14"/>
  <c r="J18" i="14"/>
  <c r="J19" i="14"/>
  <c r="J20" i="14"/>
  <c r="J17" i="14"/>
  <c r="J6" i="14"/>
  <c r="J7" i="14"/>
  <c r="J8" i="14"/>
  <c r="J9" i="14"/>
  <c r="J10" i="14"/>
  <c r="J11" i="14"/>
  <c r="J12" i="14"/>
  <c r="J5" i="14"/>
  <c r="H119" i="14"/>
  <c r="I119" i="14" s="1"/>
  <c r="L119" i="14" s="1"/>
  <c r="H120" i="14"/>
  <c r="I120" i="14" s="1"/>
  <c r="L120" i="14" s="1"/>
  <c r="H118" i="14"/>
  <c r="I118" i="14" s="1"/>
  <c r="L118" i="14" s="1"/>
  <c r="H111" i="14"/>
  <c r="I111" i="14" s="1"/>
  <c r="L111" i="14" s="1"/>
  <c r="H112" i="14"/>
  <c r="I112" i="14" s="1"/>
  <c r="L112" i="14" s="1"/>
  <c r="H110" i="14"/>
  <c r="I110" i="14" s="1"/>
  <c r="L110" i="14" s="1"/>
  <c r="H98" i="14"/>
  <c r="I98" i="14" s="1"/>
  <c r="L98" i="14" s="1"/>
  <c r="H99" i="14"/>
  <c r="I99" i="14" s="1"/>
  <c r="L99" i="14" s="1"/>
  <c r="H100" i="14"/>
  <c r="I100" i="14" s="1"/>
  <c r="L100" i="14" s="1"/>
  <c r="H101" i="14"/>
  <c r="I101" i="14" s="1"/>
  <c r="L101" i="14" s="1"/>
  <c r="H102" i="14"/>
  <c r="I102" i="14" s="1"/>
  <c r="L102" i="14" s="1"/>
  <c r="H103" i="14"/>
  <c r="I103" i="14" s="1"/>
  <c r="L103" i="14" s="1"/>
  <c r="H97" i="14"/>
  <c r="I97" i="14" s="1"/>
  <c r="L97" i="14" s="1"/>
  <c r="H90" i="14"/>
  <c r="I90" i="14" s="1"/>
  <c r="L90" i="14" s="1"/>
  <c r="H84" i="14"/>
  <c r="I84" i="14" s="1"/>
  <c r="L84" i="14" s="1"/>
  <c r="H85" i="14"/>
  <c r="I85" i="14" s="1"/>
  <c r="L85" i="14" s="1"/>
  <c r="H86" i="14"/>
  <c r="I86" i="14" s="1"/>
  <c r="L86" i="14" s="1"/>
  <c r="H83" i="14"/>
  <c r="I83" i="14" s="1"/>
  <c r="L83" i="14" s="1"/>
  <c r="H74" i="14"/>
  <c r="I74" i="14" s="1"/>
  <c r="L74" i="14" s="1"/>
  <c r="H75" i="14"/>
  <c r="I75" i="14" s="1"/>
  <c r="L75" i="14" s="1"/>
  <c r="H76" i="14"/>
  <c r="I76" i="14" s="1"/>
  <c r="L76" i="14" s="1"/>
  <c r="H77" i="14"/>
  <c r="I77" i="14" s="1"/>
  <c r="L77" i="14" s="1"/>
  <c r="H78" i="14"/>
  <c r="I78" i="14" s="1"/>
  <c r="L78" i="14" s="1"/>
  <c r="H73" i="14"/>
  <c r="I73" i="14" s="1"/>
  <c r="H68" i="14"/>
  <c r="I68" i="14" s="1"/>
  <c r="L68" i="14" s="1"/>
  <c r="H69" i="14"/>
  <c r="I69" i="14" s="1"/>
  <c r="L69" i="14" s="1"/>
  <c r="H67" i="14"/>
  <c r="I67" i="14" s="1"/>
  <c r="L67" i="14" s="1"/>
  <c r="H61" i="14"/>
  <c r="I61" i="14" s="1"/>
  <c r="L61" i="14" s="1"/>
  <c r="H62" i="14"/>
  <c r="I62" i="14" s="1"/>
  <c r="H63" i="14"/>
  <c r="I63" i="14" s="1"/>
  <c r="H60" i="14"/>
  <c r="I60" i="14" s="1"/>
  <c r="H56" i="14"/>
  <c r="I56" i="14" s="1"/>
  <c r="L56" i="14" s="1"/>
  <c r="H52" i="14"/>
  <c r="I52" i="14" s="1"/>
  <c r="L52" i="14" s="1"/>
  <c r="H45" i="14"/>
  <c r="I45" i="14" s="1"/>
  <c r="L45" i="14" s="1"/>
  <c r="H41" i="14"/>
  <c r="I41" i="14" s="1"/>
  <c r="L41" i="14" s="1"/>
  <c r="H34" i="14"/>
  <c r="I34" i="14" s="1"/>
  <c r="H35" i="14"/>
  <c r="I35" i="14" s="1"/>
  <c r="H36" i="14"/>
  <c r="I36" i="14" s="1"/>
  <c r="L36" i="14" s="1"/>
  <c r="H37" i="14"/>
  <c r="I37" i="14" s="1"/>
  <c r="H33" i="14"/>
  <c r="I33" i="14" s="1"/>
  <c r="L33" i="14" s="1"/>
  <c r="H25" i="14"/>
  <c r="I25" i="14" s="1"/>
  <c r="L25" i="14" s="1"/>
  <c r="H18" i="14"/>
  <c r="I18" i="14" s="1"/>
  <c r="L18" i="14" s="1"/>
  <c r="H19" i="14"/>
  <c r="I19" i="14" s="1"/>
  <c r="L19" i="14" s="1"/>
  <c r="H20" i="14"/>
  <c r="I20" i="14" s="1"/>
  <c r="L20" i="14" s="1"/>
  <c r="H17" i="14"/>
  <c r="I17" i="14" s="1"/>
  <c r="L17" i="14" s="1"/>
  <c r="H6" i="14"/>
  <c r="I6" i="14" s="1"/>
  <c r="L6" i="14" s="1"/>
  <c r="H7" i="14"/>
  <c r="I7" i="14" s="1"/>
  <c r="L7" i="14" s="1"/>
  <c r="H8" i="14"/>
  <c r="I8" i="14" s="1"/>
  <c r="L8" i="14" s="1"/>
  <c r="H9" i="14"/>
  <c r="I9" i="14" s="1"/>
  <c r="L9" i="14" s="1"/>
  <c r="H10" i="14"/>
  <c r="I10" i="14" s="1"/>
  <c r="L10" i="14" s="1"/>
  <c r="H11" i="14"/>
  <c r="I11" i="14" s="1"/>
  <c r="L11" i="14" s="1"/>
  <c r="H12" i="14"/>
  <c r="I12" i="14" s="1"/>
  <c r="L12" i="14" s="1"/>
  <c r="H5" i="14"/>
  <c r="I5" i="14" s="1"/>
  <c r="L5" i="14" s="1"/>
  <c r="C120" i="14" l="1"/>
  <c r="O120" i="14" s="1"/>
  <c r="C100" i="14"/>
  <c r="O100" i="14" s="1"/>
  <c r="O104" i="14" s="1"/>
  <c r="C77" i="14"/>
  <c r="C20" i="14"/>
  <c r="O20" i="14" s="1"/>
  <c r="C19" i="14"/>
  <c r="O19" i="14" s="1"/>
  <c r="C18" i="14"/>
  <c r="O18" i="14" s="1"/>
  <c r="C17" i="14"/>
  <c r="C9" i="14"/>
  <c r="O9" i="14" s="1"/>
  <c r="C8" i="14"/>
  <c r="O8" i="14" s="1"/>
  <c r="C7" i="14"/>
  <c r="O77" i="14" l="1"/>
  <c r="O17" i="14"/>
  <c r="O22" i="14" s="1"/>
  <c r="O7" i="14"/>
  <c r="O14" i="14" s="1"/>
  <c r="T35" i="14"/>
  <c r="O27" i="14" l="1"/>
  <c r="O126" i="14" s="1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2" i="13"/>
  <c r="S22" i="8" l="1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21" i="8"/>
  <c r="U6" i="10"/>
  <c r="U7" i="10"/>
  <c r="S22" i="9"/>
  <c r="T9" i="12" l="1"/>
  <c r="I16" i="13" l="1"/>
  <c r="J16" i="13"/>
  <c r="P11" i="11" l="1"/>
  <c r="F26" i="8" l="1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25" i="8"/>
  <c r="T46" i="8" l="1"/>
  <c r="U46" i="8" s="1"/>
  <c r="T47" i="8"/>
  <c r="U47" i="8" s="1"/>
  <c r="T48" i="8"/>
  <c r="U48" i="8" s="1"/>
  <c r="T49" i="8"/>
  <c r="U49" i="8" s="1"/>
  <c r="T50" i="8"/>
  <c r="U50" i="8" s="1"/>
  <c r="T51" i="8"/>
  <c r="U51" i="8" s="1"/>
  <c r="T52" i="8"/>
  <c r="U52" i="8" s="1"/>
  <c r="T53" i="8"/>
  <c r="U53" i="8" s="1"/>
  <c r="T54" i="8"/>
  <c r="U54" i="8" s="1"/>
  <c r="T55" i="8"/>
  <c r="U55" i="8" s="1"/>
  <c r="T56" i="8"/>
  <c r="U56" i="8" s="1"/>
  <c r="T57" i="8"/>
  <c r="U57" i="8" s="1"/>
  <c r="T58" i="8"/>
  <c r="U58" i="8" s="1"/>
  <c r="T59" i="8"/>
  <c r="U59" i="8" s="1"/>
  <c r="T60" i="8"/>
  <c r="U60" i="8" s="1"/>
  <c r="T61" i="8"/>
  <c r="U61" i="8" s="1"/>
  <c r="T22" i="8" l="1"/>
  <c r="U22" i="8" s="1"/>
  <c r="T23" i="8"/>
  <c r="U23" i="8" s="1"/>
  <c r="T24" i="8"/>
  <c r="U24" i="8" s="1"/>
  <c r="T25" i="8"/>
  <c r="U25" i="8" s="1"/>
  <c r="T26" i="8"/>
  <c r="U26" i="8" s="1"/>
  <c r="T27" i="8"/>
  <c r="U27" i="8" s="1"/>
  <c r="T28" i="8"/>
  <c r="U28" i="8" s="1"/>
  <c r="T29" i="8"/>
  <c r="U29" i="8" s="1"/>
  <c r="T30" i="8"/>
  <c r="U30" i="8" s="1"/>
  <c r="T31" i="8"/>
  <c r="U31" i="8" s="1"/>
  <c r="T32" i="8"/>
  <c r="U32" i="8" s="1"/>
  <c r="T33" i="8"/>
  <c r="U33" i="8" s="1"/>
  <c r="T34" i="8"/>
  <c r="U34" i="8" s="1"/>
  <c r="T35" i="8"/>
  <c r="U35" i="8" s="1"/>
  <c r="T36" i="8"/>
  <c r="U36" i="8" s="1"/>
  <c r="T37" i="8"/>
  <c r="U37" i="8" s="1"/>
  <c r="T38" i="8"/>
  <c r="U38" i="8" s="1"/>
  <c r="T39" i="8"/>
  <c r="U39" i="8" s="1"/>
  <c r="T40" i="8"/>
  <c r="U40" i="8" s="1"/>
  <c r="T41" i="8"/>
  <c r="U41" i="8" s="1"/>
  <c r="T42" i="8"/>
  <c r="U42" i="8" s="1"/>
  <c r="T43" i="8"/>
  <c r="U43" i="8" s="1"/>
  <c r="T44" i="8"/>
  <c r="U44" i="8" s="1"/>
  <c r="T45" i="8"/>
  <c r="U45" i="8" s="1"/>
  <c r="T21" i="8"/>
  <c r="U21" i="8" s="1"/>
  <c r="S47" i="9" l="1"/>
  <c r="S48" i="9"/>
  <c r="S40" i="9"/>
  <c r="S39" i="9"/>
  <c r="S38" i="9"/>
  <c r="S37" i="9"/>
  <c r="Q36" i="9"/>
  <c r="S36" i="9"/>
  <c r="S35" i="9" l="1"/>
  <c r="T34" i="9"/>
  <c r="U34" i="9" s="1"/>
  <c r="S34" i="9"/>
  <c r="Q34" i="9"/>
  <c r="Q33" i="9"/>
  <c r="S33" i="9"/>
  <c r="V26" i="9"/>
  <c r="U26" i="9" s="1"/>
  <c r="S28" i="9"/>
  <c r="S27" i="9"/>
  <c r="S26" i="9"/>
  <c r="T23" i="9"/>
  <c r="U23" i="9" s="1"/>
  <c r="S23" i="9"/>
  <c r="Q22" i="9"/>
  <c r="S25" i="9"/>
  <c r="S24" i="9"/>
  <c r="T16" i="9" l="1"/>
  <c r="U16" i="9" s="1"/>
  <c r="S16" i="9"/>
  <c r="S15" i="9"/>
  <c r="T46" i="9" l="1"/>
  <c r="U46" i="9" s="1"/>
  <c r="T45" i="9"/>
  <c r="U45" i="9" s="1"/>
  <c r="S46" i="9"/>
  <c r="S49" i="9"/>
  <c r="S45" i="9"/>
  <c r="S53" i="9"/>
  <c r="T9" i="9"/>
  <c r="U9" i="9" s="1"/>
  <c r="S9" i="9"/>
  <c r="Q9" i="9"/>
  <c r="S4" i="9"/>
  <c r="Q4" i="9"/>
  <c r="F53" i="9"/>
  <c r="F49" i="9"/>
  <c r="F47" i="9"/>
  <c r="F39" i="9"/>
  <c r="F37" i="9"/>
  <c r="F36" i="9"/>
  <c r="F35" i="9"/>
  <c r="F34" i="9"/>
  <c r="F42" i="9" s="1"/>
  <c r="F33" i="9"/>
  <c r="F26" i="9"/>
  <c r="F23" i="9"/>
  <c r="F22" i="9"/>
  <c r="I15" i="9"/>
  <c r="F15" i="9"/>
  <c r="I9" i="9"/>
  <c r="F9" i="9"/>
  <c r="H4" i="9"/>
  <c r="F4" i="9"/>
  <c r="T5" i="12"/>
  <c r="U5" i="12" s="1"/>
  <c r="T6" i="12"/>
  <c r="U6" i="12" s="1"/>
  <c r="T7" i="12"/>
  <c r="U7" i="12" s="1"/>
  <c r="T8" i="12"/>
  <c r="U8" i="12" s="1"/>
  <c r="U9" i="12"/>
  <c r="T4" i="12"/>
  <c r="U4" i="12" s="1"/>
  <c r="S5" i="12"/>
  <c r="S6" i="12"/>
  <c r="S7" i="12"/>
  <c r="S8" i="12"/>
  <c r="S9" i="12"/>
  <c r="S4" i="12"/>
  <c r="F22" i="8"/>
  <c r="F23" i="8"/>
  <c r="F24" i="8"/>
  <c r="F21" i="8"/>
  <c r="Q23" i="8"/>
  <c r="Q22" i="8"/>
  <c r="Q21" i="8"/>
  <c r="Q15" i="8"/>
  <c r="S15" i="8"/>
  <c r="S14" i="8"/>
  <c r="U12" i="8"/>
  <c r="S10" i="8"/>
  <c r="S11" i="8"/>
  <c r="S12" i="8"/>
  <c r="S13" i="8"/>
  <c r="S9" i="8"/>
  <c r="S5" i="8"/>
  <c r="S6" i="8"/>
  <c r="S7" i="8"/>
  <c r="S8" i="8"/>
  <c r="S4" i="8"/>
  <c r="Q4" i="8"/>
  <c r="I13" i="8"/>
  <c r="F13" i="8"/>
  <c r="F11" i="8"/>
  <c r="F10" i="8"/>
  <c r="F9" i="8"/>
  <c r="T6" i="11"/>
  <c r="U6" i="11" s="1"/>
  <c r="S6" i="11"/>
  <c r="S5" i="11"/>
  <c r="S4" i="11"/>
  <c r="S7" i="11" s="1"/>
  <c r="I6" i="11"/>
  <c r="F6" i="11"/>
  <c r="I4" i="11"/>
  <c r="S6" i="10"/>
  <c r="I6" i="10"/>
  <c r="S5" i="10"/>
  <c r="S4" i="10"/>
  <c r="Q4" i="10"/>
  <c r="I5" i="10"/>
  <c r="I4" i="10"/>
  <c r="F15" i="7"/>
  <c r="F14" i="7"/>
  <c r="F16" i="7" s="1"/>
  <c r="S15" i="7"/>
  <c r="Q14" i="7"/>
  <c r="S14" i="7"/>
  <c r="S16" i="7" s="1"/>
  <c r="T9" i="7"/>
  <c r="U9" i="7" s="1"/>
  <c r="S9" i="7"/>
  <c r="M10" i="7"/>
  <c r="J10" i="7"/>
  <c r="Q9" i="7"/>
  <c r="O5" i="7"/>
  <c r="O6" i="7"/>
  <c r="O7" i="7"/>
  <c r="I9" i="7"/>
  <c r="F9" i="7"/>
  <c r="F8" i="7"/>
  <c r="H7" i="7"/>
  <c r="F7" i="7"/>
  <c r="H6" i="7"/>
  <c r="F6" i="7"/>
  <c r="H5" i="7"/>
  <c r="F5" i="7"/>
  <c r="T26" i="6"/>
  <c r="U26" i="6" s="1"/>
  <c r="S26" i="6"/>
  <c r="M13" i="6"/>
  <c r="Q26" i="6"/>
  <c r="J21" i="6"/>
  <c r="S18" i="6"/>
  <c r="S19" i="6"/>
  <c r="T18" i="6"/>
  <c r="U18" i="6" s="1"/>
  <c r="T19" i="6"/>
  <c r="U19" i="6" s="1"/>
  <c r="T20" i="6"/>
  <c r="U20" i="6"/>
  <c r="S20" i="6"/>
  <c r="T17" i="6"/>
  <c r="U17" i="6" s="1"/>
  <c r="S17" i="6"/>
  <c r="I7" i="11" l="1"/>
  <c r="F29" i="9"/>
  <c r="U21" i="6"/>
  <c r="F50" i="9"/>
  <c r="F55" i="9" s="1"/>
  <c r="F16" i="8"/>
  <c r="F10" i="7"/>
  <c r="J13" i="6"/>
  <c r="S8" i="6"/>
  <c r="T8" i="6"/>
  <c r="U8" i="6" s="1"/>
  <c r="S9" i="6"/>
  <c r="T9" i="6"/>
  <c r="U9" i="6" s="1"/>
  <c r="S10" i="6"/>
  <c r="T10" i="6"/>
  <c r="U10" i="6" s="1"/>
  <c r="S11" i="6"/>
  <c r="T11" i="6"/>
  <c r="U11" i="6" s="1"/>
  <c r="S12" i="6"/>
  <c r="T12" i="6"/>
  <c r="U12" i="6" s="1"/>
  <c r="S7" i="6"/>
  <c r="T7" i="6"/>
  <c r="U7" i="6" s="1"/>
  <c r="I26" i="6"/>
  <c r="F26" i="6"/>
  <c r="I20" i="6"/>
  <c r="F20" i="6"/>
  <c r="I19" i="6"/>
  <c r="F19" i="6"/>
  <c r="I18" i="6"/>
  <c r="F18" i="6"/>
  <c r="F21" i="6" s="1"/>
  <c r="I17" i="6"/>
  <c r="I21" i="6" s="1"/>
  <c r="I9" i="6"/>
  <c r="I8" i="6"/>
  <c r="I7" i="6"/>
  <c r="I6" i="6"/>
  <c r="I5" i="6"/>
  <c r="F5" i="6"/>
  <c r="F13" i="6" s="1"/>
  <c r="F29" i="6" l="1"/>
</calcChain>
</file>

<file path=xl/comments1.xml><?xml version="1.0" encoding="utf-8"?>
<comments xmlns="http://schemas.openxmlformats.org/spreadsheetml/2006/main">
  <authors>
    <author>123</author>
    <author>user</author>
    <author>Irina Gobejishvili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დადგენილებით განსაზღვრული პროგრამის მედიაკმენტების ბიუჯეტი 2016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დადგენილებით განსაზღვრული ტრანსპორტირების ბიუჯეტი 2016</t>
        </r>
      </text>
    </comment>
    <comment ref="I3" authorId="0">
      <text>
        <r>
          <rPr>
            <sz val="9"/>
            <color indexed="81"/>
            <rFont val="Tahoma"/>
            <family val="2"/>
          </rPr>
          <t>დადგენილებით განსაზღვრული ქვეკომპონენტის ბიუჯეტი 2016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წარმოადგენს საჭიროებას მარაგის გამო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წარმოადგენს საჭიროებას მარაგის გამო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123:აშშ დოლარი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24.74 კურსი 2.4889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14.84274 კურსი 2.2489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ამ ხელშკრულების ფარგლებში საჩუქრად გადმოგვცა 200 ყუთი ნემსი 8მმ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123:უსასყიდლო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600 კოლოფი უსასყიდლოდ</t>
        </r>
      </text>
    </comment>
    <comment ref="I11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უსასყიდლოდ მოდის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ტენდერი შეწყდა, გამოცხადდება ხელახლა</t>
        </r>
      </text>
    </comment>
    <comment ref="K11" authorId="2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27743 ლარი ორივე ზომა ჯამში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უსასყიდლო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400 კოლოფი უსასყიდლოდ</t>
        </r>
      </text>
    </comment>
    <comment ref="I12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უსასყიდლოდ მოდის</t>
        </r>
      </text>
    </comment>
    <comment ref="I13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ეს არის ბიუჯეტი 2015 დადგენილებით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ბიუჯეტის ეკონომია მივიღეთ არშესყიდული პენფილების გამო 192102დამატებული 9791 ლარი ნემსებიდან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დადგენილებით განსაზღვრული ბიუჯეტი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170370 შვისყიდი 2016 წელს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3.60 ევრო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ევრო,მაგრამ არაუმეტს 3 593 444 ლარისა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2016 წელს დაგეგმილია 170370 კარტრიჯის შესყიდვა,დანარჩენი 208230 2017 წელს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182160 შვისყიდი 2016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6.25 ევრო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ევრო, მაგრამ არაუმეტეს 6 525 338 ლარისა</t>
        </r>
      </text>
    </comment>
    <comment ref="O20" authorId="2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წელს შევისყიდი 182160 კარტრიჯს დანარჩენს 213860 -2017წელს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აქედან 5 433 072.9 ლარი იქნება ასანაზღაურებელი 2017. ევრო=2.6175 (6.08.16)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 დადგენილებით განსაზღვრული ბიუჯეტი 2016</t>
        </r>
      </text>
    </comment>
  </commentList>
</comments>
</file>

<file path=xl/comments10.xml><?xml version="1.0" encoding="utf-8"?>
<comments xmlns="http://schemas.openxmlformats.org/spreadsheetml/2006/main">
  <authors>
    <author>Irina Gobejishvili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800 000 სე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7200000სე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220000სე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80000სე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200 000სე</t>
        </r>
      </text>
    </comment>
  </commentList>
</comments>
</file>

<file path=xl/comments2.xml><?xml version="1.0" encoding="utf-8"?>
<comments xmlns="http://schemas.openxmlformats.org/spreadsheetml/2006/main">
  <authors>
    <author>123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მედიაკმენტი და ცნობა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ტრანსპორტირება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გადავიფიქრე შესყიდვა, ვინაიდან სხვა აბებს არ აქვს ხარჯვა დიდი და ესაძლოა ვერ გავხარჯო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იგეგმება ნაშთის გამო</t>
        </r>
      </text>
    </comment>
  </commentList>
</comments>
</file>

<file path=xl/comments3.xml><?xml version="1.0" encoding="utf-8"?>
<comments xmlns="http://schemas.openxmlformats.org/spreadsheetml/2006/main">
  <authors>
    <author>123</author>
    <author>Gvantsa Beridze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მთლიანი ბიუჯეტი ორივე კომპონენტში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მათ შორის ტრანსპორტირება ორგანოგადანერგილებისთვის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 2016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აღებულია 2014 წლის ფასი,ვინაიდან 2015 შესყიდვა განხორციელდა დეკემბერში 1 თვის მედიკამენტის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აღებულია 2014 წლის ფასი,ვინაიდან 2015 შესყიდვა განხორციელდა დეკემბერში 1 თვის მედიკამენტის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ვიყიდეთ 50 მგიანის ხარჯზე ვინაიდან ვერ მოგვაწოდა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აღებულია 2014 წლის ფასი,ვინაიდან 2015 შესყიდვა განხორციელდა დეკემბერში 1 თვის მედიკამენტის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 (არაუმეტეს 96452 ლარისა)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 2016</t>
        </r>
      </text>
    </comment>
    <comment ref="J25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GEL</t>
        </r>
      </text>
    </comment>
    <comment ref="M25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EURO
 4621593.5 
არაუმეტეს 12024000 ლარისა</t>
        </r>
      </text>
    </comment>
    <comment ref="O25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Euro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>აშშ დოლარი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ლარი</t>
        </r>
      </text>
    </comment>
    <comment ref="M46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USD
 არაუმეტეს 2978596 ლარისა</t>
        </r>
      </text>
    </comment>
    <comment ref="O46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USD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</commentList>
</comments>
</file>

<file path=xl/comments4.xml><?xml version="1.0" encoding="utf-8"?>
<comments xmlns="http://schemas.openxmlformats.org/spreadsheetml/2006/main">
  <authors>
    <author>123</author>
    <author>user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ტრანსპორტირება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გვაქვს მარაგი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გვაქვს მარაგი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გვაქვს მარაგი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აქედან 1.84 გ ცილ არის უსასყიდლო.რეალურად ანაზღაურებულია ხელშკრულების თნხა 3929.76</t>
        </r>
      </text>
    </comment>
    <comment ref="M3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M3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2.51086 ლარი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M4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აღარ წარმოადგენს საჭიროებას. ვინაიდან ტენდრში აღარ არის ოქტანატი.რაზეც იყო ალერგია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45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დოლარი</t>
        </r>
      </text>
    </comment>
    <comment ref="O46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დოლარი
</t>
        </r>
      </text>
    </comment>
  </commentList>
</comments>
</file>

<file path=xl/comments5.xml><?xml version="1.0" encoding="utf-8"?>
<comments xmlns="http://schemas.openxmlformats.org/spreadsheetml/2006/main">
  <authors>
    <author>123</author>
    <author>Irina Gobejishvili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ტრანსპორტირება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 გრამი euro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გრამი,ანუ2222 ბოთლი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 1გრამი (16.049 ბოთლი)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გრამი ანუ 2216 ბოთლი (6 ბოთლი იყო გატეხილი</t>
        </r>
      </text>
    </comment>
    <comment ref="M7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</t>
        </r>
      </text>
    </comment>
    <comment ref="O7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 - 1გრამი (15.8106 ბოთლი)</t>
        </r>
      </text>
    </comment>
  </commentList>
</comments>
</file>

<file path=xl/comments6.xml><?xml version="1.0" encoding="utf-8"?>
<comments xmlns="http://schemas.openxmlformats.org/spreadsheetml/2006/main">
  <authors>
    <author>123</author>
    <author>Irina Gobejishvili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მთლიანი ბიუჯეტი მედ+ტრანს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მათ შორის ტრანსპორტირება 36000 იყო და სექტემბრიდან გაიზარდა 6000 ით მიროელემენტების ხარჯზე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2015 არ შეგვისყიდია მარაგის გამო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იყო დაგგემილი ვინაიდან ხარჯვა იყო დაბალი. ვინაიდან არსებულ ნაშთებს გასდიოდა ვადა 1 ეტაპზე ვიყიდეთ 190000 აბი დანარჩენი მერე –გაცემის ახალ მოდელზე გადასვლის გამო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2015 არ შეგვისყიდია მარაგის გამო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გრამი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კოლოფი (2 340 000გრამი)</t>
        </r>
      </text>
    </comment>
    <comment ref="O11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</t>
        </r>
      </text>
    </comment>
  </commentList>
</comments>
</file>

<file path=xl/comments7.xml><?xml version="1.0" encoding="utf-8"?>
<comments xmlns="http://schemas.openxmlformats.org/spreadsheetml/2006/main">
  <authors>
    <author>123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 2016 ემატება 36000 ტრანსპორტირება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ევრო,არაუმეტეს 971249 ლარისა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 არაუმეტეს 1 582 448 ლარისა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</commentList>
</comments>
</file>

<file path=xl/comments8.xml><?xml version="1.0" encoding="utf-8"?>
<comments xmlns="http://schemas.openxmlformats.org/spreadsheetml/2006/main">
  <authors>
    <author>Irina Gobejishvili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დღევანდელი კურსის მიხედვით</t>
        </r>
      </text>
    </comment>
    <comment ref="B4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გამოკლებულია ტრანსპორტირება.ისე ბიუჯეტი არის 226 000 ლარი</t>
        </r>
      </text>
    </comment>
  </commentList>
</comments>
</file>

<file path=xl/comments9.xml><?xml version="1.0" encoding="utf-8"?>
<comments xmlns="http://schemas.openxmlformats.org/spreadsheetml/2006/main">
  <authors>
    <author>Ekaterine Adamia</author>
    <author>Irina Gobejishvili</author>
    <author>Tea Tavidashvili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თვეების რაოდენობა დათვლილია შემდეგი პრინციპით. 2017 წლის 12 თვის საჭიროებას აკლდება არსებული მარაგი (I) და ემატება 2018 თვის 3 თვე (მარტის ჩათვლით). არსებული მარაგებიდან გამომდინარე, ყველა კომპენენტზზე მიიღება განსხვავებული ციფრი</t>
        </r>
      </text>
    </comment>
    <comment ref="D11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600 უსასყიდლო</t>
        </r>
      </text>
    </comment>
    <comment ref="K11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ვეცდებით მოვაცემინოთ საჩუქრად</t>
        </r>
      </text>
    </comment>
    <comment ref="D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400 უსასყიდლო</t>
        </r>
      </text>
    </comment>
    <comment ref="K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ვეცდებით მოვაცემინოთ საჩუქრად</t>
        </r>
      </text>
    </comment>
    <comment ref="K17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ნაყიდია 2016 წელს, ამ ხარჯვით გვეყოფა 16 თვე</t>
        </r>
      </text>
    </comment>
    <comment ref="K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ნაყიდია 2016 წელს, ამ ხარჯვით გვეყოფა 15 თვე</t>
        </r>
      </text>
    </comment>
    <comment ref="K25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გავითვალისწინე 500 ცალი აფხაზეთისთვის</t>
        </r>
      </text>
    </comment>
    <comment ref="I3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ვადა გასდის 31.01.2017</t>
        </r>
      </text>
    </comment>
    <comment ref="K3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პირველ ეტაპზე ვყიდულობ 19100, თუ ხარჯვა შენარჩუნდება 2016წ სექტემბრის მიხედვით (3008 აბი) მაშინ აყიდელი იქნება მეორე ნაწილიც</t>
        </r>
      </text>
    </comment>
    <comment ref="K36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რეგიონებშია გადანაწილებული მარაგი და საკმარისი ექნება 2017 წელს</t>
        </r>
      </text>
    </comment>
    <comment ref="K5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წონა რომ მოემატოთ შემთხვევით, იყოს ბიუჯეტში გათვალისწინებული მცირედი თანხა</t>
        </r>
      </text>
    </comment>
    <comment ref="K6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უსასყიდლოდ მოვთხოვო</t>
        </r>
      </text>
    </comment>
    <comment ref="L6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უსასყიდლოდ მოვთხოვო</t>
        </r>
      </text>
    </comment>
    <comment ref="D7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800 000 სე</t>
        </r>
      </text>
    </comment>
    <comment ref="D74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7200000სე</t>
        </r>
      </text>
    </comment>
    <comment ref="D75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220000სე</t>
        </r>
      </text>
    </comment>
    <comment ref="D76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80000სე</t>
        </r>
      </text>
    </comment>
    <comment ref="D78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200 000სე</t>
        </r>
      </text>
    </comment>
    <comment ref="H85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50მგ რახან გათავდა 1 იანვრისთვის ნაშთი დამრჩება32 ,რაც სავარაუდოდ არის 2.6 თვის მარაგი</t>
        </r>
      </text>
    </comment>
    <comment ref="L90" authorId="2">
      <text>
        <r>
          <rPr>
            <b/>
            <sz val="9"/>
            <color indexed="81"/>
            <rFont val="Tahoma"/>
            <charset val="1"/>
          </rPr>
          <t>Tea Tavidashvili:</t>
        </r>
        <r>
          <rPr>
            <sz val="9"/>
            <color indexed="81"/>
            <rFont val="Tahoma"/>
            <charset val="1"/>
          </rPr>
          <t xml:space="preserve">
ვინაიდან ვადა გასდის 2017 წლის ოქტომბერში, ვიყიდოთ 6 თვის მარაგი</t>
        </r>
      </text>
    </comment>
    <comment ref="K10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რახან არ ვიცი საშ ხარჯვის მაქსიმუმი. ჯობია ვიყიდო ხარჯვის მიხედვით სრულად. პაც ერტებიან ტანდათანობით</t>
        </r>
      </text>
    </comment>
    <comment ref="K11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კლინიკებშია დარიგებული, ხარჯვაც მაგათზეა დამოკიდებული.იდოს ბიუჯეტში ფული</t>
        </r>
      </text>
    </comment>
    <comment ref="D1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კოლოფი (1*30)</t>
        </r>
      </text>
    </comment>
    <comment ref="E1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გაურკვეველია ჯერ ხარჯვა</t>
        </r>
      </text>
    </comment>
    <comment ref="K1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ახალი კომპონენტია ხარჯვა არ ვიიცით.იდოს ბიუჯეტში</t>
        </r>
      </text>
    </comment>
    <comment ref="E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გრამი</t>
        </r>
      </text>
    </comment>
    <comment ref="F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გრმი, 840 ბოთლი</t>
        </r>
      </text>
    </comment>
    <comment ref="G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გრამი (1406 ბოთლი)</t>
        </r>
      </text>
    </comment>
    <comment ref="K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მზარდია ხარჯვა ბოლო თვეების მიხედვით.დარჩეს სარშანდელი რაოდენობა</t>
        </r>
      </text>
    </comment>
  </commentList>
</comments>
</file>

<file path=xl/sharedStrings.xml><?xml version="1.0" encoding="utf-8"?>
<sst xmlns="http://schemas.openxmlformats.org/spreadsheetml/2006/main" count="1175" uniqueCount="378">
  <si>
    <t>N</t>
  </si>
  <si>
    <t>მედიკამენტის დასახელება</t>
  </si>
  <si>
    <t>ერთეულის ფასი 2014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</si>
  <si>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</si>
  <si>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</si>
  <si>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>გლუკაგენი ჰიპოკიტი 1მგ</t>
  </si>
  <si>
    <t>ლევემირი პენფილი 100სე/მლ 3მლ საინექციო ხსნარი კარტრიჯი N5</t>
  </si>
  <si>
    <t xml:space="preserve">ნოვო პენი (შპრიც-კალმისტარი) </t>
  </si>
  <si>
    <t>ნოვორაპიდი პენფილი 100სე/მლ 3მლ საინექციო ხსნარი კარტრიჯი N5</t>
  </si>
  <si>
    <t>ნოვოფაინი 30G 0.3X8მმ N100 (H)</t>
  </si>
  <si>
    <t>ნოვოფაინი 31G 0.25X6მმ N100 (H)</t>
  </si>
  <si>
    <t>აპიდრა–SOLO 100ერთ/მლ 3მლ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</si>
  <si>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</si>
  <si>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</si>
  <si>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</si>
  <si>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 xml:space="preserve">დესმოპრესინი 0,01% 5მლ </t>
  </si>
  <si>
    <t>დოლქი, მორფინის სულფატი 20მგ აბი</t>
  </si>
  <si>
    <t>მორფინის სულფატი 15მგ აბი</t>
  </si>
  <si>
    <t>მორფინის სულფატი 30მგ. აბი</t>
  </si>
  <si>
    <t>მორფინის სულფატი 60მგ აბი</t>
  </si>
  <si>
    <t>მორფინის სულფატი 100 მგ აბი</t>
  </si>
  <si>
    <t xml:space="preserve"> დასახელება</t>
  </si>
  <si>
    <t>ნარკოტიკული საშუალების გაცემის დამადასტურებელი ცნობა</t>
  </si>
  <si>
    <t>რეცეპტი ფორმა N1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</si>
  <si>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</si>
  <si>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ოქტაგამა 2,5გ/50მლ საინფუზიო ხსნარი</t>
  </si>
  <si>
    <t>კრეზამი 25000 სე აბი</t>
  </si>
  <si>
    <t>საიზენი - კარტრიჯის შესანახი ცივი კონტეინერი, ჩანთა</t>
  </si>
  <si>
    <t>საიზენი 8მგ კარტრიჯი (ფხვნილი+გამხსნელი)</t>
  </si>
  <si>
    <t>საიზენის აუტოინჯექტორი - საინექციო კალამი</t>
  </si>
  <si>
    <t>საიზენის შესაყვანი შპრიც-კალამის ნემსი</t>
  </si>
  <si>
    <t xml:space="preserve">აფენილაკი 40 </t>
  </si>
  <si>
    <t>აფენილაკი 15</t>
  </si>
  <si>
    <t>IX ფაქტორი  ს.ე.</t>
  </si>
  <si>
    <t>VIII ფაქტორი ს.ე.</t>
  </si>
  <si>
    <t>ანტიჰემოფილური პროთრომბინ კომპლექსი ს.ე.</t>
  </si>
  <si>
    <t>XIII ფაქტორი  ს.ე.</t>
  </si>
  <si>
    <t>VII ფაქტორი გრ</t>
  </si>
  <si>
    <t>ედნოკი N.  2მგ/0.5მგ სუბლინგვალური ტაბლეტი</t>
  </si>
  <si>
    <t xml:space="preserve">ედნოკი N.  8მგ/2.0მგ სუბლინგვალური ტაბლეტი </t>
  </si>
  <si>
    <t>მეთადონის ჰიდროქლორიდი  გრამი</t>
  </si>
  <si>
    <t>ნარკომანია</t>
  </si>
  <si>
    <t>მიფორტიკი 180მგ აბი</t>
  </si>
  <si>
    <t>ფოლის მჟავა 400მკგ (0.4მგ) აბი</t>
  </si>
  <si>
    <t>სორბიფერ დურულესი 100მგ აბი</t>
  </si>
  <si>
    <t>ეტანერცეპტი 25მგ</t>
  </si>
  <si>
    <t>სახელშეკრულებო ფასი</t>
  </si>
  <si>
    <t>შესყიდული რაოდენობა</t>
  </si>
  <si>
    <t>ტენდერის ეკონომია</t>
  </si>
  <si>
    <t>მოწოდებული რაოდენობა (ხელშეკრულება)</t>
  </si>
  <si>
    <t>თანხა</t>
  </si>
  <si>
    <t>დარჩენილი მოსაწოდებელი რაოდენობა (ხელშეკრულება)</t>
  </si>
  <si>
    <t>ერთეულის ფასი 2015</t>
  </si>
  <si>
    <t xml:space="preserve">ბიუჯეტის  ეკონომია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</si>
  <si>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</si>
  <si>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</si>
  <si>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მიკოფენოლატის მოფეტილი USP 250მგ</t>
  </si>
  <si>
    <t>აქტივირებული პროთრომბინ კომპ. კონცენტრატი ს.ე. ფეიბა</t>
  </si>
  <si>
    <t>გადაუდებელი</t>
  </si>
  <si>
    <t>სულ</t>
  </si>
  <si>
    <t>დიაბეტის მართვა სულ</t>
  </si>
  <si>
    <t>ექსჯადი 500მგ</t>
  </si>
  <si>
    <t xml:space="preserve">ადპორტი 0.5მგ კაფს.  </t>
  </si>
  <si>
    <t xml:space="preserve">ადპორტი 1მგ კაფს.  </t>
  </si>
  <si>
    <t>ეტანერცეპტი 50მგ</t>
  </si>
  <si>
    <t>VIII ფაქტორი ს.ე. ალტერნატიული</t>
  </si>
  <si>
    <t>50 000.00</t>
  </si>
  <si>
    <t>რიბავირინი 200მგ</t>
  </si>
  <si>
    <t>11 აშშ</t>
  </si>
  <si>
    <t>6.6 აშშ</t>
  </si>
  <si>
    <t>1.1აშშ</t>
  </si>
  <si>
    <t>203.76 აშშ</t>
  </si>
  <si>
    <t>509.82 აშშ</t>
  </si>
  <si>
    <t>2016 წლის შესყიდვის საფუძველი</t>
  </si>
  <si>
    <t>23.10.2015წ N04/81589</t>
  </si>
  <si>
    <t>23.10.2015წ N04/81589; 17.02.2016წ N04-2680</t>
  </si>
  <si>
    <t>მორფინის ჰიდროქლორიდი საინექციო ხსნარი ამპულა 1მლ 1%</t>
  </si>
  <si>
    <t>23.10.2015წ N04/81589; 28.10.2015წ N04-20255</t>
  </si>
  <si>
    <t>23.10.2015წ N04/81589; 02.11.2015წ N04-20574</t>
  </si>
  <si>
    <t>23.10.2015წ N04/81589; 11.11.2015წ N04-21324</t>
  </si>
  <si>
    <t>23.10.2015წ N04/81589;04.11.2015წ N04-20800</t>
  </si>
  <si>
    <t>23.10.2015წ N04/81589; 16.12.2015წ N04-23909</t>
  </si>
  <si>
    <t>23.10.2015წ N04/81589;04.11.2015წ N04-20800;24.05.2016წ N04-9290</t>
  </si>
  <si>
    <t>ტოცილიზუბამი/აქტემრა 80მგ</t>
  </si>
  <si>
    <t>ტოცილიზუმაბი/აქტემრა 200 მგ</t>
  </si>
  <si>
    <t>ციკლოსპორინი100მგ რბილი კაფსულა</t>
  </si>
  <si>
    <t>ციკლოსპორინი 25მგ რბილი კაფსულა</t>
  </si>
  <si>
    <t>ციკლოსპორინი 50მგ რბილი კაფსულა</t>
  </si>
  <si>
    <t>23.10.2015წ N04/81589; 27.11.2015წ N04-22401</t>
  </si>
  <si>
    <t>2016 წელი  კორექტირებული დაგეგმილი  რაოდენობა</t>
  </si>
  <si>
    <t>2016 წელი  2015 წლის აგვისტოში დაგეგმილი  რაოდენობა</t>
  </si>
  <si>
    <t>დიაბეტის მართვა (პროგრამული კოდი 35 03 03 02)</t>
  </si>
  <si>
    <t xml:space="preserve">შაქრიანი დიაბეტით დაავადებულ ბავშვთა და მოზარდთა მედიკამენტებით უზრუნველყოფა </t>
  </si>
  <si>
    <t>2016 ბიუჯეტი სავარაუდო</t>
  </si>
  <si>
    <t>2016 ბიუჯეტი კორექტირებული ხარჯვის მიხედვით ტენდერების გამოცხადებსი წინ ბაზრის მოკვლევის ფასების გათვალისწინებით</t>
  </si>
  <si>
    <t>2016 ბიუჯეტი სავარაუდო (ლარი)</t>
  </si>
  <si>
    <t>2016 წლის ბაზრის მოკვლევა (ფასი) კურსი აშშ დოლარი 2.4010; ევრო 2.6315</t>
  </si>
  <si>
    <t xml:space="preserve">2016 წლის ბაზრის მოკვლევა (ფასი) კურსი </t>
  </si>
  <si>
    <t>23.10.2015წ N04/81589,8.07.2016 N04-12813</t>
  </si>
  <si>
    <t>23.10.2015წ N04/81589; 24.12.2015წ #04-24548, 20.07.2016w N04-13820</t>
  </si>
  <si>
    <t>ხელშეკრულება</t>
  </si>
  <si>
    <t>ერთეულის ფასი 2016</t>
  </si>
  <si>
    <t>ტენდერი 2016</t>
  </si>
  <si>
    <t>ეკონომია</t>
  </si>
  <si>
    <t>ხელშეკრულების შესრულება</t>
  </si>
  <si>
    <t>არ შევისყიდეთ არსებული მარაგიდან გამომდინარე</t>
  </si>
  <si>
    <t>SPA160009323</t>
  </si>
  <si>
    <t>SPA</t>
  </si>
  <si>
    <t>35030302/16-7 23.05.16</t>
  </si>
  <si>
    <t>სატენდერო ფასი (ლარი)</t>
  </si>
  <si>
    <t>SPA160009014</t>
  </si>
  <si>
    <t>35030302/16-5 23.05.16</t>
  </si>
  <si>
    <t>SPA160010142</t>
  </si>
  <si>
    <t>35030302/16-8 23.05.16</t>
  </si>
  <si>
    <t>SPA160009091</t>
  </si>
  <si>
    <t>35030302/16-6 23.05.16</t>
  </si>
  <si>
    <t>სულ:</t>
  </si>
  <si>
    <t>SPA150035929</t>
  </si>
  <si>
    <t>35030302/16-3 04.02.16</t>
  </si>
  <si>
    <t>35030302/16-2 04.02.16</t>
  </si>
  <si>
    <t>SPA150035926</t>
  </si>
  <si>
    <t>SPA150035782</t>
  </si>
  <si>
    <t>35030302/16 04.02.16</t>
  </si>
  <si>
    <t>SPA150034695</t>
  </si>
  <si>
    <t>35030302/16-1/1</t>
  </si>
  <si>
    <t>ინკურაბელურ პაციენტთა პალიატიური მზრუნველობა (პროგრამული კოდი 35 03 03 05)</t>
  </si>
  <si>
    <t xml:space="preserve">ინკურაბელურ პაციენტთა მედიკამენტებით უზრუნველყოფა </t>
  </si>
  <si>
    <t>დავგეგმე მაგრამ აღარ ვყიდულობ სხვა ფორმების მარაგის გამო</t>
  </si>
  <si>
    <t>არ ვყიდულობ არსებული მარაგიდან გამომდინარე</t>
  </si>
  <si>
    <t>ვყიდულობ 2017 წლისთვის, რადგან იანვარში არსებულს გაუვა ვადა და მოწოდებას სჭირდება 4-5 თვე</t>
  </si>
  <si>
    <t>SPA150031572</t>
  </si>
  <si>
    <t>35030305/1 4.01.16</t>
  </si>
  <si>
    <t>SPA160009749</t>
  </si>
  <si>
    <t>35030305/2</t>
  </si>
  <si>
    <t>ნარკოტიკული საშუალებების გაცემის დამადასატურებელი ცნობა და რეცეპტი N1</t>
  </si>
  <si>
    <t>ნარკომანიით დაავადებულ პაციენტთა მკურნალობა (პროგრამული კოდი 35 03 02 10)</t>
  </si>
  <si>
    <t>ჩამანაცვლებელი ფარმაცევტული პროდუქტის შესყიდვა</t>
  </si>
  <si>
    <t>SPA150034693</t>
  </si>
  <si>
    <t>35030210/16-4 21.01.16</t>
  </si>
  <si>
    <t>35030210/16-5 15.02.16</t>
  </si>
  <si>
    <t>SPA150036528</t>
  </si>
  <si>
    <t>SPA160021397</t>
  </si>
  <si>
    <t>დედათა და ბავშვთა ჯანმრთელობა (პროგრამული კოდი 35 03 02 09)</t>
  </si>
  <si>
    <t>ფოლიუმის მჟავის და რკინის პრეპარატების შესყიდვა</t>
  </si>
  <si>
    <t>მიკროელემენტების შმცველი საკვები დანამატის შესყიდვა</t>
  </si>
  <si>
    <t>SPA160005466</t>
  </si>
  <si>
    <t>3503020901/4 22.03.16</t>
  </si>
  <si>
    <t>SPA160015541</t>
  </si>
  <si>
    <t>3503020901/5 8.07.16</t>
  </si>
  <si>
    <t>SPA150036170</t>
  </si>
  <si>
    <t>3503020901/2 3.02.16</t>
  </si>
  <si>
    <t>პირველი შესყიდვაა</t>
  </si>
  <si>
    <t>მიკროელემენტების შემცველი საკვები დანამატი</t>
  </si>
  <si>
    <t>3503020901/6</t>
  </si>
  <si>
    <t>2016 წელი  დაგეგმილი რაოდენობა</t>
  </si>
  <si>
    <t>პროგრამის კომპონენტის მიხედვით ბიუჯეტის ეკონომია 26375.63 ლარი (ევროს კურსი 2.6175 6.08.16)</t>
  </si>
  <si>
    <t>01/38212 17.05.16 ეკა ადამიას წერილი</t>
  </si>
  <si>
    <t xml:space="preserve">პროგრამის კომპონენტის მიხედვით ბიუჯეტის ეკონომია </t>
  </si>
  <si>
    <t xml:space="preserve">დიალიზი და თირკმლის ტრანსპლანტაცია (პროგრამული კოდი 35 03 03 04) </t>
  </si>
  <si>
    <t>ორგანოგადანერგილთა იმუნოსუპრესიული მედიკამენტებით უზრუნველყოფა</t>
  </si>
  <si>
    <t>ჰემო და პერიტონჯეული დიალიზისათვის საჭირო სადიალიზე საშუალებების, მასალის და მედიკამენტების შესყიდვა და მიწოდება</t>
  </si>
  <si>
    <t>SPA150032938</t>
  </si>
  <si>
    <t>3503030401/16-3</t>
  </si>
  <si>
    <t>SPA160008164</t>
  </si>
  <si>
    <t>3503030401/16-10</t>
  </si>
  <si>
    <t>SPA160010143</t>
  </si>
  <si>
    <t>3503030401/16-12 10.05.16</t>
  </si>
  <si>
    <t>3503030401/16-7 29.02.16</t>
  </si>
  <si>
    <t>SPA160004019</t>
  </si>
  <si>
    <t>3503030401/16-8 15.03.16</t>
  </si>
  <si>
    <t>3503030401/20</t>
  </si>
  <si>
    <t>SPA150035624</t>
  </si>
  <si>
    <t>3503030401/16-6 27.01.16</t>
  </si>
  <si>
    <t>SPA160009511</t>
  </si>
  <si>
    <t>3503030401/16-11 05.06.16</t>
  </si>
  <si>
    <t>ერითროპოეტინი 2000სე/ეპოკინი პრეფილდი</t>
  </si>
  <si>
    <t>SPA150031677</t>
  </si>
  <si>
    <t>კლექსანი 300მლ/3მლ</t>
  </si>
  <si>
    <t>SPA150031558</t>
  </si>
  <si>
    <t>ჰეპარინი 25000სე ბიბრაუნი</t>
  </si>
  <si>
    <t>SPA150031559</t>
  </si>
  <si>
    <t>რკინის სუკროზა 100მგ/მლ 5მლ ფემორუმი</t>
  </si>
  <si>
    <t>SPA150032648</t>
  </si>
  <si>
    <t>3503030401/16-4 15.01.16</t>
  </si>
  <si>
    <t>3503030401/16-2 4.01.16</t>
  </si>
  <si>
    <t>3503030401/22 30.12.15</t>
  </si>
  <si>
    <t>3503030401/21  30.12.15</t>
  </si>
  <si>
    <t>04-20868 5.11.2015</t>
  </si>
  <si>
    <t>C ჰეპატიტის მართვის სახელმწიფო როგრამა</t>
  </si>
  <si>
    <t>ინტერფერონი 80მკგ ან 180მკგ</t>
  </si>
  <si>
    <t>ინტერფერონი 100მკგ ან 180მკგ</t>
  </si>
  <si>
    <t>ინტერფერონი 120მკგ ან 180მკგ</t>
  </si>
  <si>
    <t>ინტერფერონი 150მკგ ან 180მკგ</t>
  </si>
  <si>
    <t>რიბავირინი 200მგ უსასყიდლო ინტერფერონისთვის</t>
  </si>
  <si>
    <t>04-2835 19.02.16;01/11135 11.02.16</t>
  </si>
  <si>
    <t>2`360`637</t>
  </si>
  <si>
    <t>35030212/16-14 /22.03.16</t>
  </si>
  <si>
    <t>35030212/16-13 /22.03.16</t>
  </si>
  <si>
    <t>1`199`647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</si>
  <si>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 (პროგრამული კოდი 35 03 03 06)</t>
  </si>
  <si>
    <t>მუკოვისციდოზით დაავადებულთა სპეციფიკური მედიკამენტებით უზრუნველყოფია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</si>
  <si>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</si>
  <si>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</si>
  <si>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ჰემოფილიით დაავადებულ ბავშვთა და მოზრდილთა მედიკამენტებით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</si>
  <si>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</si>
  <si>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</si>
  <si>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SPA160011663</t>
  </si>
  <si>
    <t>35030306/16-26 31.05.16</t>
  </si>
  <si>
    <t>35030306/16-6 15.01.16</t>
  </si>
  <si>
    <t>SPA150034215</t>
  </si>
  <si>
    <t>SPA160010140</t>
  </si>
  <si>
    <t>35030306/16-26 5.05.16</t>
  </si>
  <si>
    <t>SPA150036527</t>
  </si>
  <si>
    <t>35030306/16-12 15.02.16</t>
  </si>
  <si>
    <t>არსებული მარაგიდან გამომდინარე აღარ მივიღეთ</t>
  </si>
  <si>
    <t>SPA150034701</t>
  </si>
  <si>
    <t>35030306/16-8 21.01.16</t>
  </si>
  <si>
    <t>SPA16010141</t>
  </si>
  <si>
    <t>35030306/16-24 10.05.16</t>
  </si>
  <si>
    <t>35030306/16-13 29.02.16</t>
  </si>
  <si>
    <t>35030306/16-14 29.02.16</t>
  </si>
  <si>
    <t>35030306/16-21 15.04.16</t>
  </si>
  <si>
    <t>პამ1/პამ2/პამ3</t>
  </si>
  <si>
    <t>spa160008553</t>
  </si>
  <si>
    <t>SPA160011685</t>
  </si>
  <si>
    <t>35030306/16-25 30.05.16</t>
  </si>
  <si>
    <t>SPA150031578</t>
  </si>
  <si>
    <t>35030306/16-3 4.01.16</t>
  </si>
  <si>
    <t>SPA150031560</t>
  </si>
  <si>
    <t>35030306/16-5 6.01.16</t>
  </si>
  <si>
    <t>SPA150031556</t>
  </si>
  <si>
    <t>35030306/16-4 6.01.16</t>
  </si>
  <si>
    <t>35030306/16-7 20.01.16</t>
  </si>
  <si>
    <t>SPA150034699</t>
  </si>
  <si>
    <t>35030306/16-10 05.02.16</t>
  </si>
  <si>
    <t>35030306/16-18 24.03.16</t>
  </si>
  <si>
    <t>SPA160002783</t>
  </si>
  <si>
    <t>SPA160002785</t>
  </si>
  <si>
    <t>35030306/16-15 4.03.16</t>
  </si>
  <si>
    <t>SPA160010057</t>
  </si>
  <si>
    <t>35030306/16-22 05.02.16</t>
  </si>
  <si>
    <t>აღარ წარმოადგენს წელს საჭიროებას</t>
  </si>
  <si>
    <t>SPA160003730</t>
  </si>
  <si>
    <t>35030306/16-17 10.03.16</t>
  </si>
  <si>
    <t>35030306/16-11 9.02.16</t>
  </si>
  <si>
    <t>დიალიზატორი სინთეზური მამბრანით 0.6 - 0.8 &lt;30</t>
  </si>
  <si>
    <t>ა/ვ სისხლის მაგისტრალი პედიატრიული</t>
  </si>
  <si>
    <t>ფართი 1.7 - 1.8 &gt;30</t>
  </si>
  <si>
    <t>ა/ვ სისხლის მაგისტრალი  FMC 2008 – FMC 4008 – FMC 5008 – FMC 5008S ; DIALOG+NIKKISO</t>
  </si>
  <si>
    <t>ა/ვ ფისტულის საპუნქციე ნემსი (წყვილი)</t>
  </si>
  <si>
    <t>აპარატის სადეზინფექციო ხსნარი</t>
  </si>
  <si>
    <t>წყლის დამარბილებელი მარილი</t>
  </si>
  <si>
    <t>დიალიზატორი სინთეზური მამბრანით ფართი 0.8 -1.0 &lt;30</t>
  </si>
  <si>
    <t>დიალიზატორი სინთეზური მამბრანით ფართი 1.2 - 1.3 &lt;30</t>
  </si>
  <si>
    <t>დიალიზატორი სინთეზური მამბრანით ფართი 1.2 - 1.3 &gt;30</t>
  </si>
  <si>
    <t>დიალიზატორი სინთეზური მამბრანით ფართი 1.4 - 1.6 &lt;30</t>
  </si>
  <si>
    <t>დიალიზატორი სინთეზური მამბრანით ფართი 1.4 - 1.6 &gt;30</t>
  </si>
  <si>
    <t>დიალიზატორი სინთეზური მამბრანით ფართი 1.7 - 1.8 &lt;30</t>
  </si>
  <si>
    <t>დიალიზატორი სინთეზური მამბრანით ფართი 2.1 - 2.4 &lt;30</t>
  </si>
  <si>
    <t>დიალიზატორი სინთეზური მამბრანით ფართი 2.1 - 2.4 &gt;30</t>
  </si>
  <si>
    <t>მჟავა კონცენტრატი K2</t>
  </si>
  <si>
    <t>მჟავა კონცენტრატი K3</t>
  </si>
  <si>
    <t>ნატრიუმის ბიკარბონატი ფხვნილი</t>
  </si>
  <si>
    <t>ნატრიუმის ბიკარბონატი FOR BBRAUN ; NIKKISO MACHINES</t>
  </si>
  <si>
    <t>ნატრიუმის ბიკარბონატი  FOR 4008 FMC MACHINES</t>
  </si>
  <si>
    <t>ნატრიუმის ბიკარბონატი FOR FMC 4008S CLASSIC BASIC SN MACHINES</t>
  </si>
  <si>
    <t>ხსნარი გლუკოზით 1.36 % (დექსტროზა 1.5 %) 2.0 ლ ჩამცლელი ჩანთით</t>
  </si>
  <si>
    <t>ხსნარი გლუკოზით 2.27 % (დექსტროზა 2.5 %) 2.0 ლ ჩამცლელი ჩანთით</t>
  </si>
  <si>
    <t>ხსნარი გლუკოზით 3.86 % (დექსტროზა 4.25 %) 2.0 ლ ჩამცლელი ჩანთით</t>
  </si>
  <si>
    <t>ხსნარი გლუკოზით 1.36 % (დექსტროზა 1.5 %) 2.5 ლ ჩამცლელი ჩანთით</t>
  </si>
  <si>
    <t>ხსნარი გლუკოზით 2.27 % (დექსტროზა 2.5 %) 2.5 ლ ჩამცლელი ჩანთით</t>
  </si>
  <si>
    <t>ხსნარი გლუკოზით 3.86 % (დექსტროზა 4.25 %) 2.5 ლ ჩამცლელი ჩანთით</t>
  </si>
  <si>
    <t>ხსნარი გლუკოზით 1.36 % (დექსტროზა 1.5 %) 5.0 ლ ჩამცლელი ჩანთით</t>
  </si>
  <si>
    <t>ხსნარი გლუკოზით 2.27 % (დექსტროზა 2.5 %) 5.0 ლ ჩამცლელი ჩანთით</t>
  </si>
  <si>
    <t>აიკოდექსტრინი 7.5 % 2.0 ლ ჩამცლელი ჩანთით</t>
  </si>
  <si>
    <t>სადეზინფექციო თავსახური</t>
  </si>
  <si>
    <t>კათეტერის დამაგრძლებელი (გადამყვანი)</t>
  </si>
  <si>
    <t>პერიტონეული დიალიზის კათეტერი OREPPOULUS ZELLERMAN</t>
  </si>
  <si>
    <t>კათეტერის ადაპტორი</t>
  </si>
  <si>
    <t>გამომავალი მაგისტრალის ჩამკეტი</t>
  </si>
  <si>
    <t>მაგისტრალი ჩამცლელი ჩანთით (აპდ)</t>
  </si>
  <si>
    <t>კასეტა (აპდ)</t>
  </si>
  <si>
    <t xml:space="preserve">3503030401/16-5    21.01.2016 3503030401/16-5/1 13.07.2016  </t>
  </si>
  <si>
    <t>3503030401/1 04.01.2016</t>
  </si>
  <si>
    <t>SPA150031769</t>
  </si>
  <si>
    <t>SPA150034009</t>
  </si>
  <si>
    <t>არ გვქონდა</t>
  </si>
  <si>
    <t>04-21323 11.11.15</t>
  </si>
  <si>
    <t>SPA160018481</t>
  </si>
  <si>
    <t>დიაბეტი შაქრიანი</t>
  </si>
  <si>
    <t>დიაბეტი უშაქრო</t>
  </si>
  <si>
    <t>კომპონენტი</t>
  </si>
  <si>
    <t>დეფიციტი</t>
  </si>
  <si>
    <t>პროფიციტი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</si>
  <si>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</si>
  <si>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</si>
  <si>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</si>
  <si>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</si>
  <si>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</si>
  <si>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</si>
  <si>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</si>
  <si>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</si>
  <si>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</si>
  <si>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</si>
  <si>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</si>
  <si>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29745 კარტრიჯი მოვა წელს და დანარჩენი 2017</t>
  </si>
  <si>
    <t>2016 მოსაწოდებელი აღარ არის ლანტუსი</t>
  </si>
  <si>
    <t>35030210/16-9 21.09.16</t>
  </si>
  <si>
    <t>SPA160022391</t>
  </si>
  <si>
    <t>35030302/16-9 26.096.16</t>
  </si>
  <si>
    <t>შე-ძლება არ ვიყიდო წელს!!! მოფიქრების პროცესშია, ტენდერი არ შედგა 2ჯერ</t>
  </si>
  <si>
    <t>ბიუჯეტი 2016</t>
  </si>
  <si>
    <t>მოსალოდნელი ხარჯი</t>
  </si>
  <si>
    <t>გაწეული ხარჯი 1 ივლისამდე</t>
  </si>
  <si>
    <t>გაწეული ხარჯი 1 ივლისის შემდგომ</t>
  </si>
  <si>
    <t>ევრო დღეს 2.6159</t>
  </si>
  <si>
    <t>დოლარი დღეს 2.3277</t>
  </si>
  <si>
    <t>ივლისი</t>
  </si>
  <si>
    <t>აგვისტო</t>
  </si>
  <si>
    <t>სექტემბერი</t>
  </si>
  <si>
    <t>დოლარი 2.34</t>
  </si>
  <si>
    <t>ევრო 2.60</t>
  </si>
  <si>
    <t>დოლარი 2.31</t>
  </si>
  <si>
    <t>დოლარი 2.33</t>
  </si>
  <si>
    <t>ბიუჯეტი ხელშეკრულებების მიხედვით</t>
  </si>
  <si>
    <t>დეფიციტი/პროფიციტი</t>
  </si>
  <si>
    <t>ერთეულის ფასი 2015-2016 ლარი</t>
  </si>
  <si>
    <t>საშუალო ხარჯვა თვეში</t>
  </si>
  <si>
    <t>02..08.16-ნაშთი</t>
  </si>
  <si>
    <t>ინკურაბელურ პაციენტთა პალიატიური მზრუნველობა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</si>
  <si>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</si>
  <si>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არ ვიყიდი</t>
  </si>
  <si>
    <t>რეალურად ამდენია აფთიაქების ცათვლით და გახდება გასანადგურებელი</t>
  </si>
  <si>
    <t>წელს რასაც ვყიდულობ 2017 მოვიხმარ</t>
  </si>
  <si>
    <t>ვადა აქვს 20 წლამდე არ ვყიდულობ საერთოდ</t>
  </si>
  <si>
    <t>ნარკოტიკული საშუალებების გაცემის დამადასატურებელი ცნობა</t>
  </si>
  <si>
    <t>რეცეპტის ბლანკი ფორმა N1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</si>
  <si>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</si>
  <si>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</si>
  <si>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</si>
  <si>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</si>
  <si>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ნუტრიგენი 70/პამ1 პამ2 პამ3</t>
  </si>
  <si>
    <t>ჰემოფილიით დაავადებულ ბავშვთა და მოზრდილთა მედიკამენტებით უზრუნველყოფის კომპონენტი</t>
  </si>
  <si>
    <t>გვჭირდბა იმ შემთხვევაში თუ ალერგიაა.წელს შეიცვალა წამალის დასახელება და აღარ დაგვჭირდა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</si>
  <si>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</si>
  <si>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</si>
  <si>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ხარჯვა თუ არ გავზარდეთ 2017 1 ოქტომებრს გაუვა ვადა</t>
  </si>
  <si>
    <t>დიალიზი და თირკმლის ტრანსპლანტაცია</t>
  </si>
  <si>
    <t>ორგანოგადანერგილთა იმუნოსუპრესიული მედიკამენტებით უზრუნველყოფის კომპონენტი</t>
  </si>
  <si>
    <t>წლის ბოლომდე ნაშტი არ დამრჩება,ვინაიდან გავხარჯავ სრულად</t>
  </si>
  <si>
    <t>დედათა და ბავშვთა ჯანმრთელობა</t>
  </si>
  <si>
    <t>ორსულთა მედიკამენტებით უზრუნველყოფა</t>
  </si>
  <si>
    <t>კლინიკებში შეტანა დავიწყე, ნაშტი არ დამრჩება. 4 თვეზე გადაანგარიშებით</t>
  </si>
  <si>
    <t>მიკროელემენტები</t>
  </si>
  <si>
    <t>ნარკომანიით დაავადებულ პირთა მკურნალობა</t>
  </si>
  <si>
    <t>ჩამანაცვლებელი ნარკოტიკის შესყიდვა</t>
  </si>
  <si>
    <t>ფორმულა ურევს</t>
  </si>
  <si>
    <t>ტენდერია გამოცხადებული 12654 გრამზე</t>
  </si>
  <si>
    <t>საშუალო ხარჯვა  (9 თვე) თვეში</t>
  </si>
  <si>
    <t>03.10.16-ნაშთი</t>
  </si>
  <si>
    <t>შესყიდული რაოდენობა 2016</t>
  </si>
  <si>
    <t>2016 წლის ბოლომდე მისაღები მედიკამენტებსი რაოდენობა</t>
  </si>
  <si>
    <t>სავარაუდო ნაშთი 01.01.2017 წლისთვის</t>
  </si>
  <si>
    <t>01.01.2017 მარაგი თვე</t>
  </si>
  <si>
    <t>2017 საჭიროება 12 თვე საშ.ხარჯვის მიხედვით</t>
  </si>
  <si>
    <t>შესასყიდი რაოდენობა, 2018 წლის მარტის ჩათვლით</t>
  </si>
  <si>
    <t>ბიუჯეტი 2017</t>
  </si>
  <si>
    <t xml:space="preserve">ინკურაბელური სულ: </t>
  </si>
  <si>
    <t>შეფუთვაში</t>
  </si>
  <si>
    <t>ს/ე ფასი</t>
  </si>
  <si>
    <r>
      <t xml:space="preserve">საშუალო ხარჯვა  </t>
    </r>
    <r>
      <rPr>
        <sz val="8"/>
        <color rgb="FFFF0000"/>
        <rFont val="Arial"/>
        <family val="2"/>
      </rPr>
      <t xml:space="preserve">ფლაკონი </t>
    </r>
    <r>
      <rPr>
        <sz val="8"/>
        <rFont val="Arial"/>
        <family val="2"/>
      </rPr>
      <t>(9 თვე) თვეში</t>
    </r>
  </si>
  <si>
    <r>
      <t xml:space="preserve">შესყიდული რაოდენობა 2016 </t>
    </r>
    <r>
      <rPr>
        <sz val="8"/>
        <color rgb="FFFF0000"/>
        <rFont val="Arial"/>
        <family val="2"/>
      </rPr>
      <t>ფლაკონი</t>
    </r>
  </si>
  <si>
    <r>
      <t xml:space="preserve">საშუალო ხარჯვა  </t>
    </r>
    <r>
      <rPr>
        <sz val="8"/>
        <color rgb="FFFF0000"/>
        <rFont val="Arial"/>
        <family val="2"/>
      </rPr>
      <t xml:space="preserve">ს/ე </t>
    </r>
    <r>
      <rPr>
        <sz val="8"/>
        <rFont val="Arial"/>
        <family val="2"/>
      </rPr>
      <t>(9 თვე) თვეში</t>
    </r>
  </si>
  <si>
    <r>
      <t>03.10.16-ნაშთი</t>
    </r>
    <r>
      <rPr>
        <sz val="8"/>
        <color rgb="FFFF0000"/>
        <rFont val="Arial"/>
        <family val="2"/>
      </rPr>
      <t xml:space="preserve"> ს/ე</t>
    </r>
  </si>
  <si>
    <r>
      <t>2017 საჭიროება 12 თვე საშ.ხარჯვის მიხედვით</t>
    </r>
    <r>
      <rPr>
        <sz val="8"/>
        <color rgb="FFFF0000"/>
        <rFont val="Arial"/>
        <family val="2"/>
      </rPr>
      <t xml:space="preserve"> ს/ე</t>
    </r>
  </si>
  <si>
    <r>
      <t xml:space="preserve">შესასყიდი რაოდენობა, </t>
    </r>
    <r>
      <rPr>
        <sz val="8"/>
        <color rgb="FFFF0000"/>
        <rFont val="Arial"/>
        <family val="2"/>
      </rPr>
      <t xml:space="preserve">ს/ე </t>
    </r>
    <r>
      <rPr>
        <sz val="8"/>
        <rFont val="Arial"/>
        <family val="2"/>
      </rPr>
      <t>2018 წლის მარტის ჩათვლით</t>
    </r>
  </si>
  <si>
    <t>შესასყიდი რაოდენობა, 2018 წლის მარტის ჩათვლით (ფორმულით)</t>
  </si>
  <si>
    <t>შესასყიდი რაოდენობა, 2018 წლის მარტის ჩათვლით (დამრგვალებული)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</si>
</sst>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(* #,##0.00_);_(* \(#,##0.00\);_(* &quot;-&quot;??_);_(@_)"/>
    <numFmt numFmtId="164" formatCode="_-* #,##0.00\ _L_a_r_i_-;\-* #,##0.00\ _L_a_r_i_-;_-* &quot;-&quot;??\ _L_a_r_i_-;_-@_-"/>
    <numFmt numFmtId="165" formatCode="0.00000"/>
    <numFmt numFmtId="166" formatCode="_(* #,##0.0_);_(* \(#,##0.0\);_(* &quot;-&quot;?_);_(@_)"/>
    <numFmt numFmtId="167" formatCode="0.0000"/>
    <numFmt numFmtId="168" formatCode="#,##0.0"/>
    <numFmt numFmtId="169" formatCode="0.000"/>
    <numFmt numFmtId="170" formatCode="_-* #,##0.00_р_._-;\-* #,##0.00_р_._-;_-* &quot;-&quot;??_р_._-;_-@_-"/>
    <numFmt numFmtId="171" formatCode="#,##0.000000"/>
    <numFmt numFmtId="172" formatCode="#,##0.0000"/>
    <numFmt numFmtId="173" formatCode="0.000000"/>
    <numFmt numFmtId="174" formatCode="#,##0.00000"/>
    <numFmt numFmtId="175" formatCode="#,##0.000"/>
    <numFmt numFmtId="176" formatCode="_(* #,##0.000_);_(* \(#,##0.000\);_(* &quot;-&quot;??_);_(@_)"/>
    <numFmt numFmtId="177" formatCode="_(* #,##0.00000_);_(* \(#,##0.00000\);_(* &quot;-&quot;??_);_(@_)"/>
    <numFmt numFmtId="178" formatCode="_(* #,##0.000000_);_(* \(#,##0.000000\);_(* &quot;-&quot;??_);_(@_)"/>
    <numFmt numFmtId="179" formatCode="_(* #,##0.0000_);_(* \(#,##0.0000\);_(* &quot;-&quot;??_);_(@_)"/>
    <numFmt numFmtId="180" formatCode="_(* #,##0.00000_);_(* \(#,##0.00000\);_(* &quot;-&quot;?_);_(@_)"/>
    <numFmt numFmtId="181" formatCode="_(* #,##0_);_(* \(#,##0\);_(* &quot;-&quot;??_);_(@_)"/>
    <numFmt numFmtId="182" formatCode="_(* #,##0.0000000_);_(* \(#,##0.0000000\);_(* &quot;-&quot;??_);_(@_)"/>
    <numFmt numFmtId="183" formatCode="_(* #,##0.000000000_);_(* \(#,##0.000000000\);_(* &quot;-&quot;??_);_(@_)"/>
    <numFmt numFmtId="184" formatCode="0.00000000000"/>
    <numFmt numFmtId="185" formatCode="0.0"/>
    <numFmt numFmtId="186" formatCode="_(* #,##0.0_);_(* \(#,##0.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GEO DUMBADZE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222222"/>
      <name val="Verdana"/>
      <family val="2"/>
    </font>
    <font>
      <sz val="8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Trebuchet MS"/>
      <family val="2"/>
    </font>
    <font>
      <b/>
      <sz val="12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70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1" fillId="0" borderId="0"/>
    <xf numFmtId="170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0">
    <xf numFmtId="0" fontId="0" fillId="0" borderId="0" xfId="0"/>
    <xf numFmtId="0" fontId="0" fillId="0" borderId="0" xfId="0"/>
    <xf numFmtId="43" fontId="8" fillId="0" borderId="1" xfId="1" applyFont="1" applyBorder="1"/>
    <xf numFmtId="1" fontId="7" fillId="0" borderId="6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/>
    </xf>
    <xf numFmtId="2" fontId="7" fillId="12" borderId="1" xfId="2" applyNumberFormat="1" applyFont="1" applyFill="1" applyBorder="1" applyAlignment="1">
      <alignment horizontal="center" vertical="center" wrapText="1"/>
    </xf>
    <xf numFmtId="2" fontId="9" fillId="0" borderId="5" xfId="2" applyNumberFormat="1" applyFont="1" applyFill="1" applyBorder="1" applyAlignment="1">
      <alignment horizontal="center"/>
    </xf>
    <xf numFmtId="2" fontId="7" fillId="0" borderId="4" xfId="2" applyNumberFormat="1" applyFont="1" applyFill="1" applyBorder="1" applyAlignment="1">
      <alignment horizontal="center"/>
    </xf>
    <xf numFmtId="1" fontId="7" fillId="0" borderId="7" xfId="2" applyNumberFormat="1" applyFont="1" applyFill="1" applyBorder="1" applyAlignment="1">
      <alignment horizontal="center" vertical="center"/>
    </xf>
    <xf numFmtId="2" fontId="9" fillId="0" borderId="5" xfId="2" applyNumberFormat="1" applyFont="1" applyFill="1" applyBorder="1" applyAlignment="1">
      <alignment horizontal="right" wrapText="1"/>
    </xf>
    <xf numFmtId="2" fontId="7" fillId="0" borderId="4" xfId="2" applyNumberFormat="1" applyFont="1" applyFill="1" applyBorder="1" applyAlignment="1">
      <alignment wrapText="1"/>
    </xf>
    <xf numFmtId="166" fontId="7" fillId="10" borderId="1" xfId="1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vertical="center"/>
    </xf>
    <xf numFmtId="167" fontId="7" fillId="0" borderId="0" xfId="2" applyNumberFormat="1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/>
    </xf>
    <xf numFmtId="167" fontId="7" fillId="0" borderId="1" xfId="2" applyNumberFormat="1" applyFont="1" applyFill="1" applyBorder="1" applyAlignment="1">
      <alignment horizontal="center"/>
    </xf>
    <xf numFmtId="1" fontId="7" fillId="0" borderId="4" xfId="2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vertical="center" wrapText="1"/>
    </xf>
    <xf numFmtId="2" fontId="7" fillId="10" borderId="1" xfId="2" applyNumberFormat="1" applyFont="1" applyFill="1" applyBorder="1" applyAlignment="1">
      <alignment wrapText="1"/>
    </xf>
    <xf numFmtId="2" fontId="7" fillId="0" borderId="1" xfId="2" applyNumberFormat="1" applyFont="1" applyFill="1" applyBorder="1" applyAlignment="1">
      <alignment wrapText="1"/>
    </xf>
    <xf numFmtId="1" fontId="7" fillId="0" borderId="1" xfId="3" applyNumberFormat="1" applyFont="1" applyFill="1" applyBorder="1" applyAlignment="1">
      <alignment horizontal="center" vertical="center"/>
    </xf>
    <xf numFmtId="2" fontId="7" fillId="10" borderId="1" xfId="3" applyNumberFormat="1" applyFont="1" applyFill="1" applyBorder="1" applyAlignment="1">
      <alignment wrapText="1"/>
    </xf>
    <xf numFmtId="1" fontId="7" fillId="0" borderId="1" xfId="4" applyNumberFormat="1" applyFont="1" applyFill="1" applyBorder="1" applyAlignment="1">
      <alignment horizontal="center" vertical="center"/>
    </xf>
    <xf numFmtId="2" fontId="7" fillId="0" borderId="1" xfId="6" applyNumberFormat="1" applyFont="1" applyFill="1" applyBorder="1" applyAlignment="1">
      <alignment wrapText="1"/>
    </xf>
    <xf numFmtId="2" fontId="7" fillId="10" borderId="1" xfId="7" applyNumberFormat="1" applyFont="1" applyFill="1" applyBorder="1" applyAlignment="1">
      <alignment wrapText="1"/>
    </xf>
    <xf numFmtId="2" fontId="7" fillId="10" borderId="1" xfId="5" applyNumberFormat="1" applyFont="1" applyFill="1" applyBorder="1" applyAlignment="1">
      <alignment wrapText="1"/>
    </xf>
    <xf numFmtId="1" fontId="7" fillId="0" borderId="5" xfId="2" applyNumberFormat="1" applyFont="1" applyFill="1" applyBorder="1" applyAlignment="1">
      <alignment horizontal="center" vertical="center"/>
    </xf>
    <xf numFmtId="169" fontId="7" fillId="0" borderId="1" xfId="2" applyNumberFormat="1" applyFont="1" applyFill="1" applyBorder="1" applyAlignment="1">
      <alignment horizontal="center" wrapText="1"/>
    </xf>
    <xf numFmtId="2" fontId="7" fillId="10" borderId="1" xfId="2" applyNumberFormat="1" applyFont="1" applyFill="1" applyBorder="1" applyAlignment="1">
      <alignment horizontal="left" wrapText="1"/>
    </xf>
    <xf numFmtId="43" fontId="7" fillId="10" borderId="1" xfId="1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>
      <alignment wrapText="1"/>
    </xf>
    <xf numFmtId="0" fontId="0" fillId="10" borderId="0" xfId="0" applyFill="1"/>
    <xf numFmtId="1" fontId="7" fillId="0" borderId="1" xfId="2" applyNumberFormat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1" fontId="7" fillId="10" borderId="1" xfId="2" applyNumberFormat="1" applyFont="1" applyFill="1" applyBorder="1" applyAlignment="1">
      <alignment horizontal="center" vertical="center" wrapText="1"/>
    </xf>
    <xf numFmtId="2" fontId="7" fillId="10" borderId="1" xfId="2" applyNumberFormat="1" applyFont="1" applyFill="1" applyBorder="1" applyAlignment="1">
      <alignment horizontal="left" vertical="center" wrapText="1"/>
    </xf>
    <xf numFmtId="43" fontId="7" fillId="15" borderId="1" xfId="1" applyFont="1" applyFill="1" applyBorder="1" applyAlignment="1">
      <alignment horizontal="center" vertical="center" wrapText="1"/>
    </xf>
    <xf numFmtId="43" fontId="8" fillId="16" borderId="1" xfId="1" applyFont="1" applyFill="1" applyBorder="1" applyAlignment="1">
      <alignment horizontal="center" vertical="center" wrapText="1"/>
    </xf>
    <xf numFmtId="43" fontId="8" fillId="16" borderId="1" xfId="1" applyFont="1" applyFill="1" applyBorder="1" applyAlignment="1">
      <alignment horizontal="center" vertical="center"/>
    </xf>
    <xf numFmtId="0" fontId="0" fillId="0" borderId="1" xfId="0" applyBorder="1"/>
    <xf numFmtId="43" fontId="0" fillId="0" borderId="0" xfId="1" applyFont="1"/>
    <xf numFmtId="43" fontId="14" fillId="0" borderId="1" xfId="1" applyFont="1" applyBorder="1"/>
    <xf numFmtId="43" fontId="0" fillId="0" borderId="0" xfId="1" applyFont="1" applyBorder="1"/>
    <xf numFmtId="43" fontId="0" fillId="0" borderId="1" xfId="1" applyFont="1" applyBorder="1"/>
    <xf numFmtId="43" fontId="0" fillId="10" borderId="1" xfId="1" applyFont="1" applyFill="1" applyBorder="1"/>
    <xf numFmtId="171" fontId="14" fillId="0" borderId="1" xfId="1" applyNumberFormat="1" applyFont="1" applyBorder="1"/>
    <xf numFmtId="43" fontId="14" fillId="0" borderId="1" xfId="1" applyFont="1" applyBorder="1" applyAlignment="1"/>
    <xf numFmtId="171" fontId="14" fillId="0" borderId="1" xfId="1" applyNumberFormat="1" applyFont="1" applyBorder="1" applyAlignment="1"/>
    <xf numFmtId="164" fontId="0" fillId="0" borderId="0" xfId="0" applyNumberFormat="1"/>
    <xf numFmtId="172" fontId="14" fillId="0" borderId="1" xfId="1" applyNumberFormat="1" applyFont="1" applyBorder="1"/>
    <xf numFmtId="169" fontId="7" fillId="0" borderId="1" xfId="1" applyNumberFormat="1" applyFont="1" applyFill="1" applyBorder="1" applyAlignment="1">
      <alignment horizontal="center" vertical="center" wrapText="1"/>
    </xf>
    <xf numFmtId="174" fontId="14" fillId="0" borderId="1" xfId="1" applyNumberFormat="1" applyFont="1" applyBorder="1"/>
    <xf numFmtId="2" fontId="9" fillId="0" borderId="1" xfId="2" applyNumberFormat="1" applyFont="1" applyFill="1" applyBorder="1" applyAlignment="1">
      <alignment horizontal="right" wrapText="1"/>
    </xf>
    <xf numFmtId="2" fontId="7" fillId="10" borderId="1" xfId="2" applyNumberFormat="1" applyFont="1" applyFill="1" applyBorder="1" applyAlignment="1">
      <alignment horizontal="right" wrapText="1"/>
    </xf>
    <xf numFmtId="43" fontId="8" fillId="0" borderId="4" xfId="1" applyFont="1" applyBorder="1"/>
    <xf numFmtId="43" fontId="10" fillId="0" borderId="0" xfId="1" applyFont="1" applyAlignment="1">
      <alignment horizontal="right"/>
    </xf>
    <xf numFmtId="43" fontId="7" fillId="12" borderId="1" xfId="1" applyFont="1" applyFill="1" applyBorder="1" applyAlignment="1">
      <alignment horizontal="center" vertical="center" wrapText="1"/>
    </xf>
    <xf numFmtId="43" fontId="8" fillId="0" borderId="1" xfId="1" applyFont="1" applyBorder="1" applyAlignment="1"/>
    <xf numFmtId="43" fontId="7" fillId="10" borderId="1" xfId="1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/>
    <xf numFmtId="0" fontId="0" fillId="10" borderId="1" xfId="0" applyFill="1" applyBorder="1"/>
    <xf numFmtId="43" fontId="8" fillId="10" borderId="1" xfId="1" applyFont="1" applyFill="1" applyBorder="1"/>
    <xf numFmtId="43" fontId="14" fillId="10" borderId="1" xfId="1" applyFont="1" applyFill="1" applyBorder="1"/>
    <xf numFmtId="4" fontId="14" fillId="0" borderId="1" xfId="1" applyNumberFormat="1" applyFont="1" applyBorder="1"/>
    <xf numFmtId="164" fontId="14" fillId="0" borderId="0" xfId="0" applyNumberFormat="1" applyFont="1"/>
    <xf numFmtId="175" fontId="14" fillId="0" borderId="1" xfId="1" applyNumberFormat="1" applyFont="1" applyBorder="1"/>
    <xf numFmtId="43" fontId="8" fillId="13" borderId="1" xfId="1" applyFont="1" applyFill="1" applyBorder="1"/>
    <xf numFmtId="43" fontId="8" fillId="13" borderId="4" xfId="1" applyFont="1" applyFill="1" applyBorder="1"/>
    <xf numFmtId="176" fontId="14" fillId="0" borderId="1" xfId="1" applyNumberFormat="1" applyFont="1" applyBorder="1"/>
    <xf numFmtId="43" fontId="8" fillId="0" borderId="4" xfId="1" applyFont="1" applyBorder="1" applyAlignment="1">
      <alignment horizontal="right"/>
    </xf>
    <xf numFmtId="2" fontId="7" fillId="10" borderId="1" xfId="0" applyNumberFormat="1" applyFont="1" applyFill="1" applyBorder="1" applyAlignment="1">
      <alignment wrapText="1"/>
    </xf>
    <xf numFmtId="180" fontId="7" fillId="10" borderId="1" xfId="1" applyNumberFormat="1" applyFont="1" applyFill="1" applyBorder="1" applyAlignment="1">
      <alignment horizontal="center" wrapText="1"/>
    </xf>
    <xf numFmtId="165" fontId="7" fillId="0" borderId="1" xfId="1" applyNumberFormat="1" applyFont="1" applyFill="1" applyBorder="1" applyAlignment="1">
      <alignment horizontal="center" wrapText="1"/>
    </xf>
    <xf numFmtId="171" fontId="14" fillId="0" borderId="1" xfId="1" applyNumberFormat="1" applyFont="1" applyBorder="1" applyAlignment="1">
      <alignment horizontal="center"/>
    </xf>
    <xf numFmtId="173" fontId="7" fillId="0" borderId="1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right" wrapText="1"/>
    </xf>
    <xf numFmtId="0" fontId="7" fillId="0" borderId="0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10" borderId="1" xfId="0" applyFill="1" applyBorder="1" applyAlignment="1">
      <alignment wrapText="1"/>
    </xf>
    <xf numFmtId="167" fontId="7" fillId="0" borderId="1" xfId="2" applyNumberFormat="1" applyFont="1" applyFill="1" applyBorder="1" applyAlignment="1">
      <alignment horizontal="center" wrapText="1"/>
    </xf>
    <xf numFmtId="0" fontId="0" fillId="0" borderId="4" xfId="0" applyBorder="1"/>
    <xf numFmtId="43" fontId="0" fillId="0" borderId="0" xfId="0" applyNumberFormat="1"/>
    <xf numFmtId="43" fontId="7" fillId="12" borderId="1" xfId="1" applyNumberFormat="1" applyFont="1" applyFill="1" applyBorder="1" applyAlignment="1">
      <alignment horizontal="center" vertical="center" wrapText="1"/>
    </xf>
    <xf numFmtId="43" fontId="14" fillId="0" borderId="1" xfId="0" applyNumberFormat="1" applyFont="1" applyBorder="1"/>
    <xf numFmtId="43" fontId="0" fillId="0" borderId="4" xfId="0" applyNumberFormat="1" applyBorder="1"/>
    <xf numFmtId="43" fontId="7" fillId="0" borderId="0" xfId="2" applyNumberFormat="1" applyFont="1" applyFill="1" applyBorder="1" applyAlignment="1">
      <alignment horizontal="center"/>
    </xf>
    <xf numFmtId="43" fontId="7" fillId="0" borderId="1" xfId="2" applyNumberFormat="1" applyFont="1" applyFill="1" applyBorder="1" applyAlignment="1">
      <alignment vertical="center" wrapText="1"/>
    </xf>
    <xf numFmtId="43" fontId="0" fillId="0" borderId="1" xfId="0" applyNumberFormat="1" applyBorder="1"/>
    <xf numFmtId="43" fontId="0" fillId="10" borderId="1" xfId="0" applyNumberFormat="1" applyFill="1" applyBorder="1"/>
    <xf numFmtId="181" fontId="0" fillId="0" borderId="0" xfId="0" applyNumberFormat="1"/>
    <xf numFmtId="181" fontId="7" fillId="12" borderId="1" xfId="1" applyNumberFormat="1" applyFont="1" applyFill="1" applyBorder="1" applyAlignment="1">
      <alignment horizontal="center" vertical="center" wrapText="1"/>
    </xf>
    <xf numFmtId="181" fontId="7" fillId="10" borderId="1" xfId="1" applyNumberFormat="1" applyFont="1" applyFill="1" applyBorder="1" applyAlignment="1">
      <alignment horizontal="center" wrapText="1"/>
    </xf>
    <xf numFmtId="181" fontId="7" fillId="0" borderId="1" xfId="1" applyNumberFormat="1" applyFont="1" applyFill="1" applyBorder="1" applyAlignment="1">
      <alignment horizontal="center" vertical="center" wrapText="1"/>
    </xf>
    <xf numFmtId="181" fontId="14" fillId="0" borderId="1" xfId="0" applyNumberFormat="1" applyFont="1" applyBorder="1"/>
    <xf numFmtId="181" fontId="7" fillId="0" borderId="4" xfId="2" applyNumberFormat="1" applyFont="1" applyFill="1" applyBorder="1" applyAlignment="1">
      <alignment horizontal="center"/>
    </xf>
    <xf numFmtId="181" fontId="0" fillId="0" borderId="4" xfId="0" applyNumberFormat="1" applyBorder="1"/>
    <xf numFmtId="181" fontId="9" fillId="0" borderId="5" xfId="2" applyNumberFormat="1" applyFont="1" applyFill="1" applyBorder="1" applyAlignment="1">
      <alignment horizontal="center"/>
    </xf>
    <xf numFmtId="181" fontId="7" fillId="0" borderId="0" xfId="2" applyNumberFormat="1" applyFont="1" applyFill="1" applyBorder="1" applyAlignment="1">
      <alignment horizontal="center"/>
    </xf>
    <xf numFmtId="181" fontId="7" fillId="0" borderId="1" xfId="2" applyNumberFormat="1" applyFont="1" applyFill="1" applyBorder="1" applyAlignment="1">
      <alignment vertical="center" wrapText="1"/>
    </xf>
    <xf numFmtId="181" fontId="0" fillId="0" borderId="1" xfId="0" applyNumberFormat="1" applyBorder="1"/>
    <xf numFmtId="181" fontId="7" fillId="0" borderId="1" xfId="2" applyNumberFormat="1" applyFont="1" applyFill="1" applyBorder="1" applyAlignment="1">
      <alignment horizontal="center"/>
    </xf>
    <xf numFmtId="181" fontId="0" fillId="10" borderId="1" xfId="0" applyNumberFormat="1" applyFill="1" applyBorder="1"/>
    <xf numFmtId="43" fontId="8" fillId="10" borderId="1" xfId="1" applyFont="1" applyFill="1" applyBorder="1" applyAlignment="1"/>
    <xf numFmtId="2" fontId="6" fillId="9" borderId="1" xfId="2" applyNumberFormat="1" applyFont="1" applyFill="1" applyBorder="1" applyAlignment="1">
      <alignment vertical="center" wrapText="1"/>
    </xf>
    <xf numFmtId="43" fontId="7" fillId="17" borderId="1" xfId="1" applyNumberFormat="1" applyFont="1" applyFill="1" applyBorder="1" applyAlignment="1">
      <alignment horizontal="center" vertical="center" wrapText="1"/>
    </xf>
    <xf numFmtId="43" fontId="7" fillId="17" borderId="4" xfId="2" applyNumberFormat="1" applyFont="1" applyFill="1" applyBorder="1" applyAlignment="1">
      <alignment horizontal="center"/>
    </xf>
    <xf numFmtId="43" fontId="7" fillId="17" borderId="5" xfId="2" applyNumberFormat="1" applyFont="1" applyFill="1" applyBorder="1" applyAlignment="1">
      <alignment horizontal="center"/>
    </xf>
    <xf numFmtId="43" fontId="8" fillId="0" borderId="14" xfId="1" applyFont="1" applyBorder="1"/>
    <xf numFmtId="43" fontId="8" fillId="0" borderId="15" xfId="1" applyFont="1" applyBorder="1"/>
    <xf numFmtId="43" fontId="14" fillId="0" borderId="0" xfId="1" applyFont="1" applyBorder="1"/>
    <xf numFmtId="0" fontId="0" fillId="0" borderId="7" xfId="0" applyBorder="1"/>
    <xf numFmtId="0" fontId="10" fillId="0" borderId="11" xfId="0" applyFont="1" applyBorder="1" applyAlignment="1">
      <alignment horizontal="right" wrapText="1"/>
    </xf>
    <xf numFmtId="0" fontId="0" fillId="0" borderId="11" xfId="0" applyBorder="1"/>
    <xf numFmtId="0" fontId="0" fillId="0" borderId="14" xfId="0" applyBorder="1"/>
    <xf numFmtId="181" fontId="0" fillId="0" borderId="14" xfId="0" applyNumberFormat="1" applyBorder="1"/>
    <xf numFmtId="43" fontId="0" fillId="18" borderId="14" xfId="0" applyNumberFormat="1" applyFill="1" applyBorder="1"/>
    <xf numFmtId="43" fontId="0" fillId="17" borderId="0" xfId="0" applyNumberFormat="1" applyFill="1"/>
    <xf numFmtId="43" fontId="0" fillId="17" borderId="1" xfId="0" applyNumberFormat="1" applyFill="1" applyBorder="1"/>
    <xf numFmtId="43" fontId="7" fillId="17" borderId="1" xfId="2" applyNumberFormat="1" applyFont="1" applyFill="1" applyBorder="1" applyAlignment="1">
      <alignment horizontal="center"/>
    </xf>
    <xf numFmtId="43" fontId="18" fillId="0" borderId="1" xfId="1" applyFont="1" applyFill="1" applyBorder="1"/>
    <xf numFmtId="2" fontId="7" fillId="0" borderId="11" xfId="2" applyNumberFormat="1" applyFont="1" applyFill="1" applyBorder="1" applyAlignment="1">
      <alignment wrapText="1"/>
    </xf>
    <xf numFmtId="2" fontId="7" fillId="0" borderId="11" xfId="2" applyNumberFormat="1" applyFont="1" applyFill="1" applyBorder="1" applyAlignment="1">
      <alignment horizontal="center"/>
    </xf>
    <xf numFmtId="181" fontId="7" fillId="0" borderId="11" xfId="2" applyNumberFormat="1" applyFont="1" applyFill="1" applyBorder="1" applyAlignment="1">
      <alignment horizontal="center"/>
    </xf>
    <xf numFmtId="43" fontId="8" fillId="0" borderId="11" xfId="1" applyFont="1" applyBorder="1"/>
    <xf numFmtId="43" fontId="8" fillId="13" borderId="2" xfId="1" applyFont="1" applyFill="1" applyBorder="1"/>
    <xf numFmtId="43" fontId="7" fillId="19" borderId="11" xfId="2" applyNumberFormat="1" applyFont="1" applyFill="1" applyBorder="1" applyAlignment="1">
      <alignment horizontal="center"/>
    </xf>
    <xf numFmtId="43" fontId="0" fillId="0" borderId="4" xfId="1" applyFont="1" applyBorder="1"/>
    <xf numFmtId="179" fontId="8" fillId="10" borderId="1" xfId="1" applyNumberFormat="1" applyFont="1" applyFill="1" applyBorder="1"/>
    <xf numFmtId="177" fontId="8" fillId="10" borderId="1" xfId="1" applyNumberFormat="1" applyFont="1" applyFill="1" applyBorder="1"/>
    <xf numFmtId="178" fontId="8" fillId="10" borderId="1" xfId="1" applyNumberFormat="1" applyFont="1" applyFill="1" applyBorder="1" applyAlignment="1"/>
    <xf numFmtId="182" fontId="8" fillId="10" borderId="1" xfId="1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2" fontId="6" fillId="9" borderId="1" xfId="2" applyNumberFormat="1" applyFont="1" applyFill="1" applyBorder="1" applyAlignment="1">
      <alignment horizontal="center" vertical="center" wrapText="1"/>
    </xf>
    <xf numFmtId="2" fontId="6" fillId="9" borderId="11" xfId="2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43" fontId="7" fillId="14" borderId="4" xfId="1" applyFont="1" applyFill="1" applyBorder="1" applyAlignment="1">
      <alignment horizontal="center" vertical="center" wrapText="1"/>
    </xf>
    <xf numFmtId="0" fontId="10" fillId="10" borderId="0" xfId="0" applyFont="1" applyFill="1"/>
    <xf numFmtId="43" fontId="8" fillId="14" borderId="4" xfId="1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/>
    </xf>
    <xf numFmtId="43" fontId="14" fillId="0" borderId="4" xfId="1" applyFont="1" applyBorder="1" applyAlignment="1"/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181" fontId="14" fillId="0" borderId="1" xfId="1" applyNumberFormat="1" applyFont="1" applyBorder="1"/>
    <xf numFmtId="43" fontId="14" fillId="0" borderId="1" xfId="1" applyFont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3" fontId="14" fillId="15" borderId="1" xfId="1" applyFont="1" applyFill="1" applyBorder="1"/>
    <xf numFmtId="43" fontId="14" fillId="20" borderId="1" xfId="1" applyFont="1" applyFill="1" applyBorder="1"/>
    <xf numFmtId="43" fontId="7" fillId="21" borderId="1" xfId="1" applyNumberFormat="1" applyFont="1" applyFill="1" applyBorder="1" applyAlignment="1">
      <alignment horizontal="center" wrapText="1"/>
    </xf>
    <xf numFmtId="43" fontId="14" fillId="16" borderId="1" xfId="1" applyFont="1" applyFill="1" applyBorder="1"/>
    <xf numFmtId="2" fontId="7" fillId="10" borderId="11" xfId="2" applyNumberFormat="1" applyFont="1" applyFill="1" applyBorder="1" applyAlignment="1">
      <alignment horizontal="right" wrapText="1"/>
    </xf>
    <xf numFmtId="43" fontId="7" fillId="10" borderId="11" xfId="1" applyNumberFormat="1" applyFont="1" applyFill="1" applyBorder="1" applyAlignment="1">
      <alignment horizontal="center" wrapText="1"/>
    </xf>
    <xf numFmtId="181" fontId="7" fillId="10" borderId="11" xfId="1" applyNumberFormat="1" applyFont="1" applyFill="1" applyBorder="1" applyAlignment="1">
      <alignment horizontal="center" wrapText="1"/>
    </xf>
    <xf numFmtId="43" fontId="14" fillId="0" borderId="7" xfId="1" applyFont="1" applyBorder="1"/>
    <xf numFmtId="43" fontId="14" fillId="0" borderId="11" xfId="1" applyFont="1" applyBorder="1"/>
    <xf numFmtId="43" fontId="14" fillId="0" borderId="2" xfId="1" applyFont="1" applyBorder="1"/>
    <xf numFmtId="168" fontId="14" fillId="0" borderId="1" xfId="1" applyNumberFormat="1" applyFont="1" applyBorder="1" applyAlignment="1">
      <alignment vertical="center"/>
    </xf>
    <xf numFmtId="0" fontId="14" fillId="0" borderId="12" xfId="0" applyFont="1" applyBorder="1"/>
    <xf numFmtId="2" fontId="7" fillId="10" borderId="0" xfId="2" applyNumberFormat="1" applyFont="1" applyFill="1" applyBorder="1" applyAlignment="1">
      <alignment horizontal="right" wrapText="1"/>
    </xf>
    <xf numFmtId="0" fontId="14" fillId="0" borderId="0" xfId="0" applyFont="1" applyBorder="1"/>
    <xf numFmtId="181" fontId="14" fillId="0" borderId="0" xfId="0" applyNumberFormat="1" applyFont="1" applyBorder="1"/>
    <xf numFmtId="43" fontId="14" fillId="0" borderId="0" xfId="0" applyNumberFormat="1" applyFont="1" applyBorder="1"/>
    <xf numFmtId="43" fontId="8" fillId="0" borderId="0" xfId="1" applyFont="1" applyBorder="1"/>
    <xf numFmtId="43" fontId="8" fillId="0" borderId="13" xfId="1" applyFont="1" applyBorder="1"/>
    <xf numFmtId="43" fontId="0" fillId="10" borderId="0" xfId="1" applyFont="1" applyFill="1"/>
    <xf numFmtId="1" fontId="7" fillId="0" borderId="12" xfId="2" applyNumberFormat="1" applyFont="1" applyFill="1" applyBorder="1" applyAlignment="1">
      <alignment horizontal="center" vertical="center"/>
    </xf>
    <xf numFmtId="2" fontId="9" fillId="0" borderId="0" xfId="2" applyNumberFormat="1" applyFont="1" applyFill="1" applyBorder="1" applyAlignment="1">
      <alignment horizontal="right" wrapText="1"/>
    </xf>
    <xf numFmtId="2" fontId="9" fillId="0" borderId="0" xfId="2" applyNumberFormat="1" applyFont="1" applyFill="1" applyBorder="1" applyAlignment="1">
      <alignment horizontal="center"/>
    </xf>
    <xf numFmtId="181" fontId="9" fillId="0" borderId="0" xfId="2" applyNumberFormat="1" applyFont="1" applyFill="1" applyBorder="1" applyAlignment="1">
      <alignment horizontal="center"/>
    </xf>
    <xf numFmtId="43" fontId="7" fillId="17" borderId="0" xfId="2" applyNumberFormat="1" applyFont="1" applyFill="1" applyBorder="1" applyAlignment="1">
      <alignment horizontal="center"/>
    </xf>
    <xf numFmtId="0" fontId="0" fillId="11" borderId="1" xfId="0" applyFill="1" applyBorder="1" applyAlignment="1">
      <alignment wrapText="1"/>
    </xf>
    <xf numFmtId="180" fontId="7" fillId="10" borderId="3" xfId="1" applyNumberFormat="1" applyFont="1" applyFill="1" applyBorder="1" applyAlignment="1">
      <alignment wrapText="1"/>
    </xf>
    <xf numFmtId="181" fontId="7" fillId="10" borderId="3" xfId="1" applyNumberFormat="1" applyFont="1" applyFill="1" applyBorder="1" applyAlignment="1">
      <alignment wrapText="1"/>
    </xf>
    <xf numFmtId="43" fontId="8" fillId="10" borderId="3" xfId="1" applyFont="1" applyFill="1" applyBorder="1" applyAlignment="1"/>
    <xf numFmtId="43" fontId="8" fillId="0" borderId="3" xfId="1" applyFont="1" applyBorder="1" applyAlignment="1"/>
    <xf numFmtId="2" fontId="7" fillId="0" borderId="3" xfId="2" applyNumberFormat="1" applyFont="1" applyFill="1" applyBorder="1" applyAlignment="1">
      <alignment vertical="center" wrapText="1"/>
    </xf>
    <xf numFmtId="43" fontId="7" fillId="10" borderId="1" xfId="1" applyNumberFormat="1" applyFont="1" applyFill="1" applyBorder="1" applyAlignment="1">
      <alignment horizontal="center" vertical="center" wrapText="1"/>
    </xf>
    <xf numFmtId="179" fontId="14" fillId="0" borderId="1" xfId="1" applyNumberFormat="1" applyFont="1" applyBorder="1"/>
    <xf numFmtId="177" fontId="14" fillId="0" borderId="1" xfId="1" applyNumberFormat="1" applyFont="1" applyBorder="1"/>
    <xf numFmtId="182" fontId="14" fillId="0" borderId="1" xfId="1" applyNumberFormat="1" applyFont="1" applyBorder="1"/>
    <xf numFmtId="183" fontId="14" fillId="0" borderId="1" xfId="1" applyNumberFormat="1" applyFont="1" applyBorder="1"/>
    <xf numFmtId="0" fontId="19" fillId="0" borderId="0" xfId="0" applyFont="1"/>
    <xf numFmtId="0" fontId="0" fillId="11" borderId="1" xfId="0" applyFill="1" applyBorder="1" applyAlignment="1">
      <alignment vertical="center" wrapText="1"/>
    </xf>
    <xf numFmtId="181" fontId="7" fillId="10" borderId="1" xfId="1" applyNumberFormat="1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left" wrapText="1"/>
    </xf>
    <xf numFmtId="165" fontId="7" fillId="0" borderId="1" xfId="2" applyNumberFormat="1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43" fontId="8" fillId="10" borderId="1" xfId="1" applyFont="1" applyFill="1" applyBorder="1" applyAlignment="1">
      <alignment wrapText="1"/>
    </xf>
    <xf numFmtId="1" fontId="7" fillId="0" borderId="3" xfId="2" applyNumberFormat="1" applyFont="1" applyFill="1" applyBorder="1" applyAlignment="1">
      <alignment vertical="center" wrapText="1"/>
    </xf>
    <xf numFmtId="43" fontId="7" fillId="10" borderId="3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167" fontId="14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84" fontId="14" fillId="0" borderId="1" xfId="0" applyNumberFormat="1" applyFont="1" applyBorder="1"/>
    <xf numFmtId="0" fontId="0" fillId="0" borderId="11" xfId="0" applyBorder="1" applyAlignment="1">
      <alignment wrapText="1"/>
    </xf>
    <xf numFmtId="181" fontId="0" fillId="0" borderId="11" xfId="0" applyNumberFormat="1" applyBorder="1"/>
    <xf numFmtId="43" fontId="0" fillId="17" borderId="11" xfId="0" applyNumberFormat="1" applyFill="1" applyBorder="1"/>
    <xf numFmtId="43" fontId="0" fillId="0" borderId="11" xfId="1" applyFont="1" applyBorder="1"/>
    <xf numFmtId="43" fontId="0" fillId="0" borderId="15" xfId="1" applyFont="1" applyBorder="1"/>
    <xf numFmtId="43" fontId="0" fillId="0" borderId="7" xfId="1" applyFont="1" applyBorder="1"/>
    <xf numFmtId="43" fontId="0" fillId="0" borderId="2" xfId="1" applyFont="1" applyBorder="1"/>
    <xf numFmtId="43" fontId="14" fillId="0" borderId="3" xfId="1" applyFont="1" applyBorder="1"/>
    <xf numFmtId="43" fontId="14" fillId="10" borderId="1" xfId="1" applyFont="1" applyFill="1" applyBorder="1" applyAlignment="1">
      <alignment wrapText="1"/>
    </xf>
    <xf numFmtId="43" fontId="14" fillId="10" borderId="1" xfId="1" applyFont="1" applyFill="1" applyBorder="1" applyAlignment="1">
      <alignment horizontal="center" wrapText="1"/>
    </xf>
    <xf numFmtId="0" fontId="14" fillId="0" borderId="5" xfId="0" applyFont="1" applyFill="1" applyBorder="1"/>
    <xf numFmtId="0" fontId="14" fillId="0" borderId="1" xfId="0" applyFont="1" applyFill="1" applyBorder="1"/>
    <xf numFmtId="0" fontId="21" fillId="0" borderId="1" xfId="0" applyFont="1" applyFill="1" applyBorder="1"/>
    <xf numFmtId="178" fontId="14" fillId="0" borderId="1" xfId="1" applyNumberFormat="1" applyFont="1" applyBorder="1"/>
    <xf numFmtId="164" fontId="17" fillId="0" borderId="0" xfId="0" applyNumberFormat="1" applyFont="1" applyAlignment="1">
      <alignment wrapText="1"/>
    </xf>
    <xf numFmtId="164" fontId="17" fillId="0" borderId="0" xfId="0" applyNumberFormat="1" applyFont="1"/>
    <xf numFmtId="0" fontId="17" fillId="0" borderId="0" xfId="0" applyFont="1"/>
    <xf numFmtId="1" fontId="7" fillId="0" borderId="4" xfId="2" applyNumberFormat="1" applyFont="1" applyFill="1" applyBorder="1" applyAlignment="1">
      <alignment horizontal="center" vertical="center"/>
    </xf>
    <xf numFmtId="1" fontId="7" fillId="0" borderId="5" xfId="2" applyNumberFormat="1" applyFont="1" applyFill="1" applyBorder="1" applyAlignment="1">
      <alignment horizontal="center" vertical="center"/>
    </xf>
    <xf numFmtId="0" fontId="0" fillId="13" borderId="1" xfId="0" applyFill="1" applyBorder="1"/>
    <xf numFmtId="0" fontId="0" fillId="13" borderId="1" xfId="0" applyFill="1" applyBorder="1" applyAlignment="1">
      <alignment wrapText="1"/>
    </xf>
    <xf numFmtId="0" fontId="21" fillId="13" borderId="1" xfId="0" applyFont="1" applyFill="1" applyBorder="1"/>
    <xf numFmtId="0" fontId="0" fillId="22" borderId="1" xfId="0" applyFill="1" applyBorder="1"/>
    <xf numFmtId="1" fontId="7" fillId="13" borderId="1" xfId="2" applyNumberFormat="1" applyFont="1" applyFill="1" applyBorder="1" applyAlignment="1">
      <alignment horizontal="center" vertical="center"/>
    </xf>
    <xf numFmtId="2" fontId="7" fillId="13" borderId="1" xfId="2" applyNumberFormat="1" applyFont="1" applyFill="1" applyBorder="1" applyAlignment="1">
      <alignment wrapText="1"/>
    </xf>
    <xf numFmtId="181" fontId="7" fillId="13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23" borderId="1" xfId="0" applyFont="1" applyFill="1" applyBorder="1" applyAlignment="1">
      <alignment horizontal="right" wrapText="1"/>
    </xf>
    <xf numFmtId="0" fontId="0" fillId="24" borderId="1" xfId="0" applyFill="1" applyBorder="1"/>
    <xf numFmtId="0" fontId="10" fillId="24" borderId="1" xfId="0" applyFont="1" applyFill="1" applyBorder="1" applyAlignment="1">
      <alignment horizontal="right" wrapText="1"/>
    </xf>
    <xf numFmtId="181" fontId="7" fillId="24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2" fontId="9" fillId="0" borderId="4" xfId="2" applyNumberFormat="1" applyFont="1" applyFill="1" applyBorder="1" applyAlignment="1">
      <alignment horizontal="right" wrapText="1"/>
    </xf>
    <xf numFmtId="2" fontId="9" fillId="0" borderId="4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 vertical="center"/>
    </xf>
    <xf numFmtId="2" fontId="9" fillId="0" borderId="14" xfId="2" applyNumberFormat="1" applyFont="1" applyFill="1" applyBorder="1" applyAlignment="1">
      <alignment horizontal="right" wrapText="1"/>
    </xf>
    <xf numFmtId="2" fontId="9" fillId="0" borderId="14" xfId="2" applyNumberFormat="1" applyFont="1" applyFill="1" applyBorder="1" applyAlignment="1">
      <alignment horizontal="center"/>
    </xf>
    <xf numFmtId="1" fontId="7" fillId="25" borderId="6" xfId="2" applyNumberFormat="1" applyFont="1" applyFill="1" applyBorder="1" applyAlignment="1">
      <alignment horizontal="center" vertical="center"/>
    </xf>
    <xf numFmtId="2" fontId="9" fillId="25" borderId="14" xfId="2" applyNumberFormat="1" applyFont="1" applyFill="1" applyBorder="1" applyAlignment="1">
      <alignment horizontal="right" wrapText="1"/>
    </xf>
    <xf numFmtId="2" fontId="9" fillId="25" borderId="14" xfId="2" applyNumberFormat="1" applyFont="1" applyFill="1" applyBorder="1" applyAlignment="1">
      <alignment horizontal="center"/>
    </xf>
    <xf numFmtId="1" fontId="7" fillId="25" borderId="7" xfId="2" applyNumberFormat="1" applyFont="1" applyFill="1" applyBorder="1" applyAlignment="1">
      <alignment horizontal="center" vertical="center"/>
    </xf>
    <xf numFmtId="2" fontId="7" fillId="25" borderId="11" xfId="2" applyNumberFormat="1" applyFont="1" applyFill="1" applyBorder="1" applyAlignment="1">
      <alignment wrapText="1"/>
    </xf>
    <xf numFmtId="2" fontId="7" fillId="25" borderId="11" xfId="2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/>
    </xf>
    <xf numFmtId="1" fontId="7" fillId="25" borderId="1" xfId="2" applyNumberFormat="1" applyFont="1" applyFill="1" applyBorder="1" applyAlignment="1">
      <alignment horizontal="center" vertical="center" wrapText="1"/>
    </xf>
    <xf numFmtId="2" fontId="9" fillId="25" borderId="4" xfId="2" applyNumberFormat="1" applyFont="1" applyFill="1" applyBorder="1" applyAlignment="1">
      <alignment horizontal="right" wrapText="1"/>
    </xf>
    <xf numFmtId="2" fontId="7" fillId="25" borderId="4" xfId="2" applyNumberFormat="1" applyFont="1" applyFill="1" applyBorder="1" applyAlignment="1">
      <alignment horizontal="center"/>
    </xf>
    <xf numFmtId="0" fontId="0" fillId="25" borderId="0" xfId="0" applyFill="1"/>
    <xf numFmtId="0" fontId="0" fillId="25" borderId="0" xfId="0" applyFill="1" applyAlignment="1">
      <alignment wrapText="1"/>
    </xf>
    <xf numFmtId="0" fontId="14" fillId="0" borderId="0" xfId="0" applyFont="1" applyAlignment="1">
      <alignment horizontal="center" wrapText="1"/>
    </xf>
    <xf numFmtId="185" fontId="7" fillId="0" borderId="1" xfId="0" applyNumberFormat="1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85" fontId="7" fillId="0" borderId="4" xfId="0" applyNumberFormat="1" applyFont="1" applyFill="1" applyBorder="1" applyAlignment="1">
      <alignment vertical="center"/>
    </xf>
    <xf numFmtId="185" fontId="7" fillId="0" borderId="1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center"/>
    </xf>
    <xf numFmtId="185" fontId="7" fillId="1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169" fontId="7" fillId="0" borderId="1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166" fontId="7" fillId="10" borderId="1" xfId="1" applyNumberFormat="1" applyFont="1" applyFill="1" applyBorder="1" applyAlignment="1">
      <alignment horizontal="right" vertical="center" wrapText="1"/>
    </xf>
    <xf numFmtId="185" fontId="7" fillId="10" borderId="1" xfId="0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 wrapText="1"/>
    </xf>
    <xf numFmtId="0" fontId="7" fillId="10" borderId="1" xfId="0" applyNumberFormat="1" applyFont="1" applyFill="1" applyBorder="1" applyAlignment="1">
      <alignment horizontal="right" vertical="center"/>
    </xf>
    <xf numFmtId="181" fontId="7" fillId="17" borderId="1" xfId="1" applyNumberFormat="1" applyFont="1" applyFill="1" applyBorder="1" applyAlignment="1">
      <alignment horizontal="center" vertical="center" wrapText="1"/>
    </xf>
    <xf numFmtId="185" fontId="7" fillId="0" borderId="5" xfId="0" applyNumberFormat="1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horizontal="center"/>
    </xf>
    <xf numFmtId="181" fontId="7" fillId="10" borderId="1" xfId="1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/>
    </xf>
    <xf numFmtId="43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/>
    </xf>
    <xf numFmtId="43" fontId="7" fillId="0" borderId="1" xfId="0" applyNumberFormat="1" applyFont="1" applyFill="1" applyBorder="1" applyAlignment="1">
      <alignment horizontal="center"/>
    </xf>
    <xf numFmtId="43" fontId="7" fillId="0" borderId="1" xfId="1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center"/>
    </xf>
    <xf numFmtId="43" fontId="7" fillId="26" borderId="1" xfId="1" applyNumberFormat="1" applyFont="1" applyFill="1" applyBorder="1" applyAlignment="1">
      <alignment horizontal="center" wrapText="1"/>
    </xf>
    <xf numFmtId="43" fontId="14" fillId="26" borderId="1" xfId="0" applyNumberFormat="1" applyFont="1" applyFill="1" applyBorder="1"/>
    <xf numFmtId="186" fontId="7" fillId="10" borderId="1" xfId="1" applyNumberFormat="1" applyFont="1" applyFill="1" applyBorder="1" applyAlignment="1">
      <alignment horizontal="center" vertical="center" wrapText="1"/>
    </xf>
    <xf numFmtId="181" fontId="7" fillId="26" borderId="1" xfId="1" applyNumberFormat="1" applyFont="1" applyFill="1" applyBorder="1" applyAlignment="1">
      <alignment horizontal="center" vertical="center" wrapText="1"/>
    </xf>
    <xf numFmtId="176" fontId="7" fillId="10" borderId="1" xfId="1" applyNumberFormat="1" applyFont="1" applyFill="1" applyBorder="1" applyAlignment="1">
      <alignment horizontal="center" vertical="center" wrapText="1"/>
    </xf>
    <xf numFmtId="179" fontId="7" fillId="10" borderId="1" xfId="1" applyNumberFormat="1" applyFont="1" applyFill="1" applyBorder="1" applyAlignment="1">
      <alignment horizontal="center" vertical="center" wrapText="1"/>
    </xf>
    <xf numFmtId="177" fontId="7" fillId="10" borderId="1" xfId="1" applyNumberFormat="1" applyFont="1" applyFill="1" applyBorder="1" applyAlignment="1">
      <alignment horizontal="center" vertical="center" wrapText="1"/>
    </xf>
    <xf numFmtId="177" fontId="7" fillId="13" borderId="1" xfId="1" applyNumberFormat="1" applyFont="1" applyFill="1" applyBorder="1" applyAlignment="1">
      <alignment horizontal="center" vertical="center" wrapText="1"/>
    </xf>
    <xf numFmtId="169" fontId="7" fillId="10" borderId="1" xfId="0" applyNumberFormat="1" applyFont="1" applyFill="1" applyBorder="1" applyAlignment="1">
      <alignment horizontal="center"/>
    </xf>
    <xf numFmtId="185" fontId="7" fillId="26" borderId="5" xfId="0" applyNumberFormat="1" applyFont="1" applyFill="1" applyBorder="1" applyAlignment="1">
      <alignment vertical="center"/>
    </xf>
    <xf numFmtId="2" fontId="9" fillId="26" borderId="5" xfId="2" applyNumberFormat="1" applyFont="1" applyFill="1" applyBorder="1" applyAlignment="1">
      <alignment horizontal="center"/>
    </xf>
    <xf numFmtId="2" fontId="9" fillId="26" borderId="4" xfId="2" applyNumberFormat="1" applyFont="1" applyFill="1" applyBorder="1" applyAlignment="1">
      <alignment horizontal="center"/>
    </xf>
    <xf numFmtId="2" fontId="9" fillId="10" borderId="14" xfId="2" applyNumberFormat="1" applyFont="1" applyFill="1" applyBorder="1" applyAlignment="1">
      <alignment horizontal="center"/>
    </xf>
    <xf numFmtId="43" fontId="0" fillId="26" borderId="1" xfId="0" applyNumberFormat="1" applyFill="1" applyBorder="1"/>
    <xf numFmtId="2" fontId="7" fillId="26" borderId="1" xfId="2" applyNumberFormat="1" applyFont="1" applyFill="1" applyBorder="1" applyAlignment="1">
      <alignment horizontal="center"/>
    </xf>
    <xf numFmtId="4" fontId="0" fillId="26" borderId="0" xfId="0" applyNumberFormat="1" applyFill="1" applyAlignment="1">
      <alignment horizontal="right"/>
    </xf>
    <xf numFmtId="4" fontId="0" fillId="26" borderId="0" xfId="0" applyNumberFormat="1" applyFill="1"/>
    <xf numFmtId="43" fontId="7" fillId="26" borderId="1" xfId="0" applyNumberFormat="1" applyFont="1" applyFill="1" applyBorder="1" applyAlignment="1">
      <alignment horizontal="center"/>
    </xf>
    <xf numFmtId="43" fontId="7" fillId="26" borderId="1" xfId="1" applyNumberFormat="1" applyFont="1" applyFill="1" applyBorder="1" applyAlignment="1">
      <alignment horizontal="center" vertical="center" wrapText="1"/>
    </xf>
    <xf numFmtId="43" fontId="7" fillId="17" borderId="11" xfId="2" applyNumberFormat="1" applyFont="1" applyFill="1" applyBorder="1" applyAlignment="1">
      <alignment horizontal="center"/>
    </xf>
    <xf numFmtId="43" fontId="7" fillId="17" borderId="1" xfId="0" applyNumberFormat="1" applyFont="1" applyFill="1" applyBorder="1" applyAlignment="1">
      <alignment horizontal="center"/>
    </xf>
    <xf numFmtId="182" fontId="7" fillId="10" borderId="1" xfId="1" applyNumberFormat="1" applyFont="1" applyFill="1" applyBorder="1" applyAlignment="1">
      <alignment horizontal="center" vertical="center" wrapText="1"/>
    </xf>
    <xf numFmtId="43" fontId="7" fillId="17" borderId="1" xfId="1" applyNumberFormat="1" applyFont="1" applyFill="1" applyBorder="1" applyAlignment="1">
      <alignment horizontal="right" vertical="center" wrapText="1"/>
    </xf>
    <xf numFmtId="43" fontId="7" fillId="17" borderId="14" xfId="1" applyFont="1" applyFill="1" applyBorder="1" applyAlignment="1">
      <alignment horizontal="center"/>
    </xf>
    <xf numFmtId="2" fontId="7" fillId="13" borderId="1" xfId="2" applyNumberFormat="1" applyFont="1" applyFill="1" applyBorder="1" applyAlignment="1">
      <alignment horizontal="center" vertical="center" wrapText="1"/>
    </xf>
    <xf numFmtId="43" fontId="7" fillId="13" borderId="1" xfId="1" applyNumberFormat="1" applyFont="1" applyFill="1" applyBorder="1" applyAlignment="1">
      <alignment horizontal="center" vertical="center" wrapText="1"/>
    </xf>
    <xf numFmtId="43" fontId="7" fillId="13" borderId="1" xfId="0" applyNumberFormat="1" applyFont="1" applyFill="1" applyBorder="1" applyAlignment="1">
      <alignment horizontal="center" vertical="center"/>
    </xf>
    <xf numFmtId="0" fontId="7" fillId="13" borderId="1" xfId="0" applyNumberFormat="1" applyFont="1" applyFill="1" applyBorder="1" applyAlignment="1">
      <alignment horizontal="center"/>
    </xf>
    <xf numFmtId="43" fontId="0" fillId="13" borderId="0" xfId="0" applyNumberFormat="1" applyFill="1"/>
    <xf numFmtId="2" fontId="7" fillId="13" borderId="4" xfId="2" applyNumberFormat="1" applyFont="1" applyFill="1" applyBorder="1" applyAlignment="1">
      <alignment horizontal="center"/>
    </xf>
    <xf numFmtId="43" fontId="0" fillId="13" borderId="1" xfId="0" applyNumberFormat="1" applyFill="1" applyBorder="1"/>
    <xf numFmtId="2" fontId="7" fillId="13" borderId="1" xfId="2" applyNumberFormat="1" applyFont="1" applyFill="1" applyBorder="1" applyAlignment="1">
      <alignment horizontal="center"/>
    </xf>
    <xf numFmtId="2" fontId="25" fillId="13" borderId="11" xfId="2" applyNumberFormat="1" applyFont="1" applyFill="1" applyBorder="1" applyAlignment="1">
      <alignment horizontal="center"/>
    </xf>
    <xf numFmtId="176" fontId="7" fillId="0" borderId="3" xfId="1" applyNumberFormat="1" applyFont="1" applyFill="1" applyBorder="1" applyAlignment="1">
      <alignment horizontal="center" vertical="center"/>
    </xf>
    <xf numFmtId="180" fontId="7" fillId="13" borderId="1" xfId="1" applyNumberFormat="1" applyFont="1" applyFill="1" applyBorder="1" applyAlignment="1">
      <alignment horizontal="center" wrapText="1"/>
    </xf>
    <xf numFmtId="43" fontId="26" fillId="13" borderId="5" xfId="1" applyFont="1" applyFill="1" applyBorder="1" applyAlignment="1">
      <alignment vertical="center"/>
    </xf>
    <xf numFmtId="43" fontId="27" fillId="13" borderId="1" xfId="1" applyFont="1" applyFill="1" applyBorder="1" applyAlignment="1">
      <alignment horizontal="center"/>
    </xf>
    <xf numFmtId="43" fontId="0" fillId="10" borderId="0" xfId="1" applyFont="1" applyFill="1" applyBorder="1" applyAlignment="1">
      <alignment horizontal="center" vertical="center"/>
    </xf>
    <xf numFmtId="2" fontId="6" fillId="9" borderId="7" xfId="2" applyNumberFormat="1" applyFont="1" applyFill="1" applyBorder="1" applyAlignment="1">
      <alignment horizontal="center" vertical="center" wrapText="1"/>
    </xf>
    <xf numFmtId="2" fontId="6" fillId="9" borderId="11" xfId="2" applyNumberFormat="1" applyFont="1" applyFill="1" applyBorder="1" applyAlignment="1">
      <alignment horizontal="center" vertical="center" wrapText="1"/>
    </xf>
    <xf numFmtId="43" fontId="14" fillId="0" borderId="3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43" fontId="17" fillId="14" borderId="7" xfId="1" applyFont="1" applyFill="1" applyBorder="1" applyAlignment="1">
      <alignment horizontal="center" vertical="center"/>
    </xf>
    <xf numFmtId="43" fontId="17" fillId="14" borderId="11" xfId="1" applyFont="1" applyFill="1" applyBorder="1" applyAlignment="1">
      <alignment horizontal="center" vertical="center"/>
    </xf>
    <xf numFmtId="43" fontId="17" fillId="14" borderId="2" xfId="1" applyFont="1" applyFill="1" applyBorder="1" applyAlignment="1">
      <alignment horizontal="center" vertical="center"/>
    </xf>
    <xf numFmtId="43" fontId="0" fillId="15" borderId="1" xfId="1" applyFont="1" applyFill="1" applyBorder="1" applyAlignment="1">
      <alignment horizontal="center" vertical="center"/>
    </xf>
    <xf numFmtId="43" fontId="14" fillId="0" borderId="3" xfId="1" applyFont="1" applyBorder="1" applyAlignment="1">
      <alignment horizontal="center" vertical="center" wrapText="1"/>
    </xf>
    <xf numFmtId="43" fontId="14" fillId="0" borderId="4" xfId="1" applyFont="1" applyBorder="1" applyAlignment="1">
      <alignment horizontal="center" vertical="center" wrapText="1"/>
    </xf>
    <xf numFmtId="43" fontId="14" fillId="0" borderId="3" xfId="1" applyFont="1" applyBorder="1" applyAlignment="1">
      <alignment horizontal="center"/>
    </xf>
    <xf numFmtId="43" fontId="14" fillId="0" borderId="4" xfId="1" applyFont="1" applyBorder="1" applyAlignment="1">
      <alignment horizontal="center"/>
    </xf>
    <xf numFmtId="0" fontId="0" fillId="11" borderId="7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43" fontId="14" fillId="0" borderId="8" xfId="1" applyFont="1" applyBorder="1" applyAlignment="1">
      <alignment horizontal="center" vertical="center" wrapText="1"/>
    </xf>
    <xf numFmtId="43" fontId="14" fillId="0" borderId="10" xfId="1" applyFont="1" applyBorder="1" applyAlignment="1">
      <alignment horizontal="center" vertical="center" wrapText="1"/>
    </xf>
    <xf numFmtId="43" fontId="14" fillId="0" borderId="9" xfId="1" applyFont="1" applyBorder="1" applyAlignment="1">
      <alignment horizontal="center" vertical="center" wrapText="1"/>
    </xf>
    <xf numFmtId="43" fontId="14" fillId="0" borderId="6" xfId="1" applyFont="1" applyBorder="1" applyAlignment="1">
      <alignment horizontal="center" vertical="center" wrapText="1"/>
    </xf>
    <xf numFmtId="43" fontId="14" fillId="0" borderId="14" xfId="1" applyFont="1" applyBorder="1" applyAlignment="1">
      <alignment horizontal="center" vertical="center" wrapText="1"/>
    </xf>
    <xf numFmtId="43" fontId="14" fillId="0" borderId="15" xfId="1" applyFont="1" applyBorder="1" applyAlignment="1">
      <alignment horizontal="center" vertical="center" wrapText="1"/>
    </xf>
    <xf numFmtId="43" fontId="0" fillId="16" borderId="1" xfId="1" applyFont="1" applyFill="1" applyBorder="1" applyAlignment="1">
      <alignment horizontal="center" vertical="center"/>
    </xf>
    <xf numFmtId="2" fontId="6" fillId="9" borderId="2" xfId="2" applyNumberFormat="1" applyFont="1" applyFill="1" applyBorder="1" applyAlignment="1">
      <alignment horizontal="center" vertical="center" wrapText="1"/>
    </xf>
    <xf numFmtId="2" fontId="6" fillId="9" borderId="1" xfId="2" applyNumberFormat="1" applyFont="1" applyFill="1" applyBorder="1" applyAlignment="1">
      <alignment horizontal="center" vertical="center" wrapText="1"/>
    </xf>
    <xf numFmtId="0" fontId="17" fillId="13" borderId="0" xfId="0" applyFont="1" applyFill="1" applyAlignment="1">
      <alignment horizontal="center" wrapText="1"/>
    </xf>
    <xf numFmtId="2" fontId="6" fillId="9" borderId="8" xfId="2" applyNumberFormat="1" applyFont="1" applyFill="1" applyBorder="1" applyAlignment="1">
      <alignment horizontal="center" vertical="center" wrapText="1"/>
    </xf>
    <xf numFmtId="2" fontId="6" fillId="9" borderId="10" xfId="2" applyNumberFormat="1" applyFont="1" applyFill="1" applyBorder="1" applyAlignment="1">
      <alignment horizontal="center" vertical="center" wrapText="1"/>
    </xf>
    <xf numFmtId="2" fontId="6" fillId="9" borderId="9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4" fillId="0" borderId="7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3" fontId="8" fillId="10" borderId="3" xfId="1" applyFont="1" applyFill="1" applyBorder="1" applyAlignment="1">
      <alignment horizontal="center"/>
    </xf>
    <xf numFmtId="43" fontId="8" fillId="10" borderId="4" xfId="1" applyFont="1" applyFill="1" applyBorder="1" applyAlignment="1">
      <alignment horizontal="center"/>
    </xf>
    <xf numFmtId="0" fontId="0" fillId="11" borderId="7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1" fontId="7" fillId="0" borderId="3" xfId="2" applyNumberFormat="1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43" fontId="8" fillId="0" borderId="3" xfId="1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2" fontId="7" fillId="0" borderId="3" xfId="2" applyNumberFormat="1" applyFont="1" applyFill="1" applyBorder="1" applyAlignment="1">
      <alignment horizontal="center" vertical="center" wrapText="1"/>
    </xf>
    <xf numFmtId="2" fontId="7" fillId="0" borderId="4" xfId="2" applyNumberFormat="1" applyFont="1" applyFill="1" applyBorder="1" applyAlignment="1">
      <alignment horizontal="center" vertical="center" wrapText="1"/>
    </xf>
    <xf numFmtId="180" fontId="7" fillId="10" borderId="3" xfId="1" applyNumberFormat="1" applyFont="1" applyFill="1" applyBorder="1" applyAlignment="1">
      <alignment horizontal="center" wrapText="1"/>
    </xf>
    <xf numFmtId="180" fontId="7" fillId="10" borderId="4" xfId="1" applyNumberFormat="1" applyFont="1" applyFill="1" applyBorder="1" applyAlignment="1">
      <alignment horizontal="center" wrapText="1"/>
    </xf>
    <xf numFmtId="181" fontId="7" fillId="10" borderId="3" xfId="1" applyNumberFormat="1" applyFont="1" applyFill="1" applyBorder="1" applyAlignment="1">
      <alignment horizontal="center" wrapText="1"/>
    </xf>
    <xf numFmtId="181" fontId="7" fillId="10" borderId="4" xfId="1" applyNumberFormat="1" applyFont="1" applyFill="1" applyBorder="1" applyAlignment="1">
      <alignment horizontal="center" wrapText="1"/>
    </xf>
    <xf numFmtId="43" fontId="7" fillId="10" borderId="3" xfId="1" applyNumberFormat="1" applyFont="1" applyFill="1" applyBorder="1" applyAlignment="1">
      <alignment horizontal="center" wrapText="1"/>
    </xf>
    <xf numFmtId="43" fontId="7" fillId="10" borderId="4" xfId="1" applyNumberFormat="1" applyFont="1" applyFill="1" applyBorder="1" applyAlignment="1">
      <alignment horizontal="center" wrapText="1"/>
    </xf>
    <xf numFmtId="43" fontId="7" fillId="10" borderId="3" xfId="1" applyNumberFormat="1" applyFont="1" applyFill="1" applyBorder="1" applyAlignment="1">
      <alignment horizontal="center" vertical="center" wrapText="1"/>
    </xf>
    <xf numFmtId="43" fontId="7" fillId="10" borderId="5" xfId="1" applyNumberFormat="1" applyFont="1" applyFill="1" applyBorder="1" applyAlignment="1">
      <alignment horizontal="center" vertical="center" wrapText="1"/>
    </xf>
    <xf numFmtId="43" fontId="7" fillId="10" borderId="4" xfId="1" applyNumberFormat="1" applyFont="1" applyFill="1" applyBorder="1" applyAlignment="1">
      <alignment horizontal="center" vertical="center" wrapText="1"/>
    </xf>
    <xf numFmtId="43" fontId="8" fillId="10" borderId="3" xfId="1" applyFont="1" applyFill="1" applyBorder="1" applyAlignment="1">
      <alignment horizontal="center" vertical="center"/>
    </xf>
    <xf numFmtId="43" fontId="8" fillId="10" borderId="5" xfId="1" applyFont="1" applyFill="1" applyBorder="1" applyAlignment="1">
      <alignment horizontal="center" vertical="center"/>
    </xf>
    <xf numFmtId="43" fontId="8" fillId="10" borderId="4" xfId="1" applyFont="1" applyFill="1" applyBorder="1" applyAlignment="1">
      <alignment horizontal="center" vertical="center"/>
    </xf>
    <xf numFmtId="180" fontId="7" fillId="10" borderId="3" xfId="1" applyNumberFormat="1" applyFont="1" applyFill="1" applyBorder="1" applyAlignment="1">
      <alignment horizontal="center" vertical="center" wrapText="1"/>
    </xf>
    <xf numFmtId="180" fontId="7" fillId="10" borderId="4" xfId="1" applyNumberFormat="1" applyFont="1" applyFill="1" applyBorder="1" applyAlignment="1">
      <alignment horizontal="center" vertical="center" wrapText="1"/>
    </xf>
    <xf numFmtId="181" fontId="7" fillId="10" borderId="3" xfId="1" applyNumberFormat="1" applyFont="1" applyFill="1" applyBorder="1" applyAlignment="1">
      <alignment horizontal="center" vertical="center" wrapText="1"/>
    </xf>
    <xf numFmtId="181" fontId="7" fillId="10" borderId="4" xfId="1" applyNumberFormat="1" applyFont="1" applyFill="1" applyBorder="1" applyAlignment="1">
      <alignment horizontal="center" vertical="center" wrapText="1"/>
    </xf>
    <xf numFmtId="1" fontId="7" fillId="0" borderId="5" xfId="2" applyNumberFormat="1" applyFont="1" applyFill="1" applyBorder="1" applyAlignment="1">
      <alignment horizontal="center" vertical="center" wrapText="1"/>
    </xf>
    <xf numFmtId="2" fontId="7" fillId="10" borderId="3" xfId="2" applyNumberFormat="1" applyFont="1" applyFill="1" applyBorder="1" applyAlignment="1">
      <alignment horizontal="center" vertical="center" wrapText="1"/>
    </xf>
    <xf numFmtId="2" fontId="7" fillId="10" borderId="5" xfId="2" applyNumberFormat="1" applyFont="1" applyFill="1" applyBorder="1" applyAlignment="1">
      <alignment horizontal="center" vertical="center" wrapText="1"/>
    </xf>
    <xf numFmtId="2" fontId="7" fillId="10" borderId="4" xfId="2" applyNumberFormat="1" applyFont="1" applyFill="1" applyBorder="1" applyAlignment="1">
      <alignment horizontal="center" vertical="center" wrapText="1"/>
    </xf>
    <xf numFmtId="167" fontId="7" fillId="0" borderId="3" xfId="2" applyNumberFormat="1" applyFont="1" applyFill="1" applyBorder="1" applyAlignment="1">
      <alignment horizontal="center" vertical="center"/>
    </xf>
    <xf numFmtId="167" fontId="7" fillId="0" borderId="5" xfId="2" applyNumberFormat="1" applyFont="1" applyFill="1" applyBorder="1" applyAlignment="1">
      <alignment horizontal="center" vertical="center"/>
    </xf>
    <xf numFmtId="167" fontId="7" fillId="0" borderId="4" xfId="2" applyNumberFormat="1" applyFont="1" applyFill="1" applyBorder="1" applyAlignment="1">
      <alignment horizontal="center" vertical="center"/>
    </xf>
    <xf numFmtId="180" fontId="7" fillId="10" borderId="5" xfId="1" applyNumberFormat="1" applyFont="1" applyFill="1" applyBorder="1" applyAlignment="1">
      <alignment horizontal="center" vertical="center" wrapText="1"/>
    </xf>
    <xf numFmtId="181" fontId="7" fillId="10" borderId="5" xfId="1" applyNumberFormat="1" applyFont="1" applyFill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7" fillId="10" borderId="3" xfId="1" applyFont="1" applyFill="1" applyBorder="1" applyAlignment="1">
      <alignment horizontal="center" vertical="center" wrapText="1"/>
    </xf>
    <xf numFmtId="43" fontId="7" fillId="10" borderId="4" xfId="1" applyFont="1" applyFill="1" applyBorder="1" applyAlignment="1">
      <alignment horizontal="center" vertical="center" wrapText="1"/>
    </xf>
    <xf numFmtId="1" fontId="7" fillId="10" borderId="3" xfId="2" applyNumberFormat="1" applyFont="1" applyFill="1" applyBorder="1" applyAlignment="1">
      <alignment horizontal="center" vertical="center" wrapText="1"/>
    </xf>
    <xf numFmtId="1" fontId="7" fillId="10" borderId="4" xfId="2" applyNumberFormat="1" applyFont="1" applyFill="1" applyBorder="1" applyAlignment="1">
      <alignment horizontal="center" vertical="center" wrapText="1"/>
    </xf>
    <xf numFmtId="43" fontId="8" fillId="13" borderId="3" xfId="1" applyFont="1" applyFill="1" applyBorder="1" applyAlignment="1">
      <alignment horizontal="center" vertical="center"/>
    </xf>
    <xf numFmtId="43" fontId="8" fillId="13" borderId="4" xfId="1" applyFont="1" applyFill="1" applyBorder="1" applyAlignment="1">
      <alignment horizontal="center" vertical="center"/>
    </xf>
    <xf numFmtId="1" fontId="7" fillId="0" borderId="3" xfId="4" applyNumberFormat="1" applyFont="1" applyFill="1" applyBorder="1" applyAlignment="1">
      <alignment horizontal="center" vertical="center"/>
    </xf>
    <xf numFmtId="1" fontId="7" fillId="0" borderId="4" xfId="4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>
      <alignment horizontal="center" vertical="center"/>
    </xf>
    <xf numFmtId="2" fontId="7" fillId="0" borderId="4" xfId="2" applyNumberFormat="1" applyFont="1" applyFill="1" applyBorder="1" applyAlignment="1">
      <alignment horizontal="center" vertical="center"/>
    </xf>
    <xf numFmtId="43" fontId="8" fillId="13" borderId="3" xfId="1" applyFont="1" applyFill="1" applyBorder="1" applyAlignment="1">
      <alignment horizontal="center"/>
    </xf>
    <xf numFmtId="43" fontId="8" fillId="13" borderId="4" xfId="1" applyFont="1" applyFill="1" applyBorder="1" applyAlignment="1">
      <alignment horizontal="center"/>
    </xf>
    <xf numFmtId="1" fontId="7" fillId="0" borderId="3" xfId="3" applyNumberFormat="1" applyFont="1" applyFill="1" applyBorder="1" applyAlignment="1">
      <alignment horizontal="center" vertical="center"/>
    </xf>
    <xf numFmtId="1" fontId="7" fillId="0" borderId="4" xfId="3" applyNumberFormat="1" applyFont="1" applyFill="1" applyBorder="1" applyAlignment="1">
      <alignment horizontal="center" vertical="center"/>
    </xf>
    <xf numFmtId="1" fontId="7" fillId="0" borderId="3" xfId="2" applyNumberFormat="1" applyFont="1" applyFill="1" applyBorder="1" applyAlignment="1">
      <alignment horizontal="center" vertical="center"/>
    </xf>
    <xf numFmtId="1" fontId="7" fillId="0" borderId="5" xfId="2" applyNumberFormat="1" applyFont="1" applyFill="1" applyBorder="1" applyAlignment="1">
      <alignment horizontal="center" vertical="center"/>
    </xf>
    <xf numFmtId="1" fontId="7" fillId="0" borderId="4" xfId="2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>
      <alignment vertical="center" wrapText="1"/>
    </xf>
    <xf numFmtId="2" fontId="7" fillId="0" borderId="5" xfId="2" applyNumberFormat="1" applyFont="1" applyFill="1" applyBorder="1" applyAlignment="1">
      <alignment vertical="center" wrapText="1"/>
    </xf>
    <xf numFmtId="2" fontId="7" fillId="0" borderId="4" xfId="2" applyNumberFormat="1" applyFont="1" applyFill="1" applyBorder="1" applyAlignment="1">
      <alignment vertical="center" wrapText="1"/>
    </xf>
    <xf numFmtId="43" fontId="14" fillId="0" borderId="3" xfId="1" applyFont="1" applyBorder="1" applyAlignment="1">
      <alignment vertical="center"/>
    </xf>
    <xf numFmtId="43" fontId="14" fillId="0" borderId="5" xfId="1" applyFont="1" applyBorder="1" applyAlignment="1">
      <alignment vertical="center"/>
    </xf>
    <xf numFmtId="43" fontId="14" fillId="0" borderId="4" xfId="1" applyFont="1" applyBorder="1" applyAlignment="1">
      <alignment vertical="center"/>
    </xf>
    <xf numFmtId="180" fontId="7" fillId="10" borderId="3" xfId="1" applyNumberFormat="1" applyFont="1" applyFill="1" applyBorder="1" applyAlignment="1">
      <alignment vertical="center" wrapText="1"/>
    </xf>
    <xf numFmtId="180" fontId="7" fillId="10" borderId="5" xfId="1" applyNumberFormat="1" applyFont="1" applyFill="1" applyBorder="1" applyAlignment="1">
      <alignment vertical="center" wrapText="1"/>
    </xf>
    <xf numFmtId="180" fontId="7" fillId="10" borderId="4" xfId="1" applyNumberFormat="1" applyFont="1" applyFill="1" applyBorder="1" applyAlignment="1">
      <alignment vertical="center" wrapText="1"/>
    </xf>
    <xf numFmtId="181" fontId="7" fillId="10" borderId="3" xfId="1" applyNumberFormat="1" applyFont="1" applyFill="1" applyBorder="1" applyAlignment="1">
      <alignment vertical="center" wrapText="1"/>
    </xf>
    <xf numFmtId="181" fontId="7" fillId="10" borderId="5" xfId="1" applyNumberFormat="1" applyFont="1" applyFill="1" applyBorder="1" applyAlignment="1">
      <alignment vertical="center" wrapText="1"/>
    </xf>
    <xf numFmtId="181" fontId="7" fillId="10" borderId="4" xfId="1" applyNumberFormat="1" applyFont="1" applyFill="1" applyBorder="1" applyAlignment="1">
      <alignment vertical="center" wrapText="1"/>
    </xf>
    <xf numFmtId="43" fontId="14" fillId="0" borderId="5" xfId="1" applyFont="1" applyBorder="1" applyAlignment="1">
      <alignment horizontal="center" vertical="center"/>
    </xf>
    <xf numFmtId="2" fontId="7" fillId="0" borderId="5" xfId="2" applyNumberFormat="1" applyFont="1" applyFill="1" applyBorder="1" applyAlignment="1">
      <alignment horizontal="center" vertical="center" wrapText="1"/>
    </xf>
    <xf numFmtId="43" fontId="7" fillId="10" borderId="3" xfId="1" applyNumberFormat="1" applyFont="1" applyFill="1" applyBorder="1" applyAlignment="1">
      <alignment vertical="center" wrapText="1"/>
    </xf>
    <xf numFmtId="43" fontId="7" fillId="10" borderId="5" xfId="1" applyNumberFormat="1" applyFont="1" applyFill="1" applyBorder="1" applyAlignment="1">
      <alignment vertical="center" wrapText="1"/>
    </xf>
    <xf numFmtId="43" fontId="7" fillId="10" borderId="4" xfId="1" applyNumberFormat="1" applyFont="1" applyFill="1" applyBorder="1" applyAlignment="1">
      <alignment vertical="center" wrapText="1"/>
    </xf>
    <xf numFmtId="43" fontId="8" fillId="10" borderId="3" xfId="1" applyFont="1" applyFill="1" applyBorder="1" applyAlignment="1">
      <alignment vertical="center"/>
    </xf>
    <xf numFmtId="43" fontId="8" fillId="10" borderId="5" xfId="1" applyFont="1" applyFill="1" applyBorder="1" applyAlignment="1">
      <alignment vertical="center"/>
    </xf>
    <xf numFmtId="43" fontId="8" fillId="10" borderId="4" xfId="1" applyFont="1" applyFill="1" applyBorder="1" applyAlignment="1">
      <alignment vertical="center"/>
    </xf>
    <xf numFmtId="2" fontId="7" fillId="10" borderId="3" xfId="2" applyNumberFormat="1" applyFont="1" applyFill="1" applyBorder="1" applyAlignment="1">
      <alignment horizontal="center" wrapText="1"/>
    </xf>
    <xf numFmtId="2" fontId="7" fillId="10" borderId="4" xfId="2" applyNumberFormat="1" applyFont="1" applyFill="1" applyBorder="1" applyAlignment="1">
      <alignment horizontal="center" wrapText="1"/>
    </xf>
    <xf numFmtId="43" fontId="8" fillId="0" borderId="3" xfId="1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43" fontId="8" fillId="0" borderId="4" xfId="1" applyFont="1" applyBorder="1" applyAlignment="1">
      <alignment vertical="center"/>
    </xf>
    <xf numFmtId="43" fontId="14" fillId="0" borderId="5" xfId="1" applyFont="1" applyBorder="1" applyAlignment="1">
      <alignment horizontal="center" vertical="center" wrapText="1"/>
    </xf>
    <xf numFmtId="178" fontId="14" fillId="0" borderId="3" xfId="1" applyNumberFormat="1" applyFont="1" applyBorder="1" applyAlignment="1">
      <alignment horizontal="center" vertical="center"/>
    </xf>
    <xf numFmtId="178" fontId="14" fillId="0" borderId="5" xfId="1" applyNumberFormat="1" applyFont="1" applyBorder="1" applyAlignment="1">
      <alignment horizontal="center" vertical="center"/>
    </xf>
    <xf numFmtId="178" fontId="14" fillId="0" borderId="4" xfId="1" applyNumberFormat="1" applyFont="1" applyBorder="1" applyAlignment="1">
      <alignment horizontal="center" vertical="center"/>
    </xf>
    <xf numFmtId="43" fontId="14" fillId="10" borderId="7" xfId="1" applyFont="1" applyFill="1" applyBorder="1" applyAlignment="1">
      <alignment horizontal="center"/>
    </xf>
    <xf numFmtId="43" fontId="14" fillId="10" borderId="11" xfId="1" applyFont="1" applyFill="1" applyBorder="1" applyAlignment="1">
      <alignment horizontal="center"/>
    </xf>
    <xf numFmtId="43" fontId="14" fillId="10" borderId="2" xfId="1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 wrapText="1"/>
    </xf>
    <xf numFmtId="0" fontId="10" fillId="11" borderId="11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179" fontId="7" fillId="0" borderId="3" xfId="1" applyNumberFormat="1" applyFont="1" applyFill="1" applyBorder="1" applyAlignment="1">
      <alignment horizontal="center" vertical="center" wrapText="1"/>
    </xf>
    <xf numFmtId="179" fontId="7" fillId="0" borderId="4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wrapText="1"/>
    </xf>
    <xf numFmtId="2" fontId="6" fillId="9" borderId="7" xfId="2" applyNumberFormat="1" applyFont="1" applyFill="1" applyBorder="1" applyAlignment="1">
      <alignment horizontal="center" vertical="center"/>
    </xf>
    <xf numFmtId="2" fontId="6" fillId="9" borderId="11" xfId="2" applyNumberFormat="1" applyFont="1" applyFill="1" applyBorder="1" applyAlignment="1">
      <alignment horizontal="center" vertical="center"/>
    </xf>
    <xf numFmtId="2" fontId="6" fillId="9" borderId="2" xfId="2" applyNumberFormat="1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/>
    </xf>
    <xf numFmtId="165" fontId="7" fillId="0" borderId="4" xfId="2" applyNumberFormat="1" applyFont="1" applyFill="1" applyBorder="1" applyAlignment="1">
      <alignment horizontal="center" vertical="center"/>
    </xf>
    <xf numFmtId="177" fontId="8" fillId="10" borderId="3" xfId="1" applyNumberFormat="1" applyFont="1" applyFill="1" applyBorder="1" applyAlignment="1">
      <alignment horizontal="center" vertical="center"/>
    </xf>
    <xf numFmtId="177" fontId="8" fillId="10" borderId="4" xfId="1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6" fillId="9" borderId="4" xfId="2" applyNumberFormat="1" applyFont="1" applyFill="1" applyBorder="1" applyAlignment="1">
      <alignment horizontal="center" vertical="center" wrapText="1"/>
    </xf>
    <xf numFmtId="181" fontId="7" fillId="10" borderId="7" xfId="1" applyNumberFormat="1" applyFont="1" applyFill="1" applyBorder="1" applyAlignment="1">
      <alignment horizontal="center" vertical="center" wrapText="1"/>
    </xf>
    <xf numFmtId="181" fontId="7" fillId="10" borderId="11" xfId="1" applyNumberFormat="1" applyFont="1" applyFill="1" applyBorder="1" applyAlignment="1">
      <alignment horizontal="center" vertical="center" wrapText="1"/>
    </xf>
    <xf numFmtId="2" fontId="6" fillId="9" borderId="1" xfId="2" applyNumberFormat="1" applyFont="1" applyFill="1" applyBorder="1" applyAlignment="1">
      <alignment horizontal="center" vertical="center"/>
    </xf>
    <xf numFmtId="169" fontId="7" fillId="13" borderId="1" xfId="1" applyNumberFormat="1" applyFont="1" applyFill="1" applyBorder="1" applyAlignment="1">
      <alignment horizontal="center" vertical="center" wrapText="1"/>
    </xf>
    <xf numFmtId="43" fontId="7" fillId="13" borderId="1" xfId="1" applyNumberFormat="1" applyFont="1" applyFill="1" applyBorder="1" applyAlignment="1">
      <alignment horizontal="center" wrapText="1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topLeftCell="F13" workbookViewId="0">
      <selection activeCell="Q20" sqref="Q20"/>
    </sheetView>
  </sheetViews>
  <sheetFormatPr defaultRowHeight="15"/>
  <cols>
    <col min="1" max="1" width="5.5703125" customWidth="1"/>
    <col min="2" max="2" width="22.42578125" customWidth="1"/>
    <col min="3" max="3" width="11.42578125" customWidth="1"/>
    <col min="4" max="4" width="16.5703125" customWidth="1"/>
    <col min="5" max="6" width="13.5703125" customWidth="1"/>
    <col min="7" max="7" width="12.42578125" customWidth="1"/>
    <col min="8" max="8" width="11.42578125" customWidth="1"/>
    <col min="9" max="9" width="16.42578125" customWidth="1"/>
    <col min="10" max="10" width="12.140625" customWidth="1"/>
    <col min="11" max="11" width="13.85546875" style="1" customWidth="1"/>
    <col min="12" max="12" width="12.140625" style="1" customWidth="1"/>
    <col min="13" max="13" width="12.42578125" customWidth="1"/>
    <col min="14" max="14" width="12.140625" customWidth="1"/>
    <col min="16" max="17" width="9.5703125" bestFit="1" customWidth="1"/>
    <col min="18" max="18" width="13" customWidth="1"/>
    <col min="19" max="19" width="12.140625" customWidth="1"/>
    <col min="20" max="20" width="11.42578125" customWidth="1"/>
    <col min="21" max="21" width="10.85546875" customWidth="1"/>
    <col min="22" max="22" width="19.7109375" customWidth="1"/>
  </cols>
  <sheetData>
    <row r="1" spans="1:22" s="1" customFormat="1" ht="15.75" customHeight="1">
      <c r="B1" s="82"/>
      <c r="E1" s="97"/>
      <c r="F1" s="89"/>
      <c r="G1" s="46"/>
      <c r="H1" s="46"/>
      <c r="I1" s="61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144"/>
    </row>
    <row r="2" spans="1:22" s="1" customFormat="1" ht="38.25" customHeight="1">
      <c r="A2" s="334" t="s">
        <v>91</v>
      </c>
      <c r="B2" s="335"/>
      <c r="C2" s="335"/>
      <c r="D2" s="335"/>
      <c r="E2" s="335"/>
      <c r="F2" s="335"/>
      <c r="G2" s="336"/>
      <c r="H2" s="142">
        <v>6302000</v>
      </c>
      <c r="I2" s="142">
        <v>204000</v>
      </c>
      <c r="J2" s="321"/>
      <c r="K2" s="321"/>
      <c r="L2" s="321"/>
      <c r="M2" s="321"/>
      <c r="N2" s="46"/>
      <c r="O2" s="46"/>
      <c r="P2" s="46"/>
      <c r="Q2" s="46"/>
      <c r="R2" s="46"/>
      <c r="S2" s="46"/>
      <c r="T2" s="46"/>
      <c r="U2" s="46"/>
    </row>
    <row r="3" spans="1:22" s="1" customFormat="1" ht="60" customHeight="1">
      <c r="A3" s="322" t="s">
        <v>92</v>
      </c>
      <c r="B3" s="323"/>
      <c r="C3" s="323"/>
      <c r="D3" s="323"/>
      <c r="E3" s="323"/>
      <c r="F3" s="323"/>
      <c r="G3" s="323"/>
      <c r="H3" s="141"/>
      <c r="I3" s="111">
        <v>500000</v>
      </c>
      <c r="J3" s="326" t="s">
        <v>102</v>
      </c>
      <c r="K3" s="327"/>
      <c r="L3" s="327"/>
      <c r="M3" s="327"/>
      <c r="N3" s="327"/>
      <c r="O3" s="328"/>
      <c r="P3" s="329" t="s">
        <v>103</v>
      </c>
      <c r="Q3" s="329"/>
      <c r="R3" s="343" t="s">
        <v>104</v>
      </c>
      <c r="S3" s="343"/>
      <c r="T3" s="343"/>
      <c r="U3" s="343"/>
    </row>
    <row r="4" spans="1:22" s="1" customFormat="1" ht="108.75" customHeight="1">
      <c r="A4" s="15" t="s">
        <v>0</v>
      </c>
      <c r="B4" s="16" t="s">
        <v>1</v>
      </c>
      <c r="C4" s="5" t="s">
        <v>52</v>
      </c>
      <c r="D4" s="5" t="s">
        <v>73</v>
      </c>
      <c r="E4" s="98" t="s">
        <v>90</v>
      </c>
      <c r="F4" s="90" t="s">
        <v>95</v>
      </c>
      <c r="G4" s="62" t="s">
        <v>89</v>
      </c>
      <c r="H4" s="62" t="s">
        <v>97</v>
      </c>
      <c r="I4" s="62" t="s">
        <v>94</v>
      </c>
      <c r="J4" s="143" t="s">
        <v>109</v>
      </c>
      <c r="K4" s="143" t="s">
        <v>107</v>
      </c>
      <c r="L4" s="143" t="s">
        <v>100</v>
      </c>
      <c r="M4" s="143" t="s">
        <v>46</v>
      </c>
      <c r="N4" s="145" t="s">
        <v>47</v>
      </c>
      <c r="O4" s="143" t="s">
        <v>101</v>
      </c>
      <c r="P4" s="42" t="s">
        <v>53</v>
      </c>
      <c r="Q4" s="42" t="s">
        <v>48</v>
      </c>
      <c r="R4" s="43" t="s">
        <v>49</v>
      </c>
      <c r="S4" s="44" t="s">
        <v>50</v>
      </c>
      <c r="T4" s="43" t="s">
        <v>51</v>
      </c>
      <c r="U4" s="44" t="s">
        <v>50</v>
      </c>
    </row>
    <row r="5" spans="1:22" s="1" customFormat="1" ht="34.5" customHeight="1">
      <c r="A5" s="38">
        <v>1</v>
      </c>
      <c r="B5" s="23" t="s">
        <v>3</v>
      </c>
      <c r="C5" s="78">
        <v>8.3577999999999992</v>
      </c>
      <c r="D5" s="78" t="s">
        <v>74</v>
      </c>
      <c r="E5" s="99">
        <v>14750</v>
      </c>
      <c r="F5" s="33">
        <f>E5*C5</f>
        <v>123277.54999999999</v>
      </c>
      <c r="G5" s="2">
        <v>0</v>
      </c>
      <c r="H5" s="2"/>
      <c r="I5" s="2">
        <f>G5*O5</f>
        <v>0</v>
      </c>
      <c r="J5" s="337" t="s">
        <v>105</v>
      </c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9"/>
    </row>
    <row r="6" spans="1:22" s="1" customFormat="1" ht="36.75" customHeight="1">
      <c r="A6" s="38">
        <v>2</v>
      </c>
      <c r="B6" s="23" t="s">
        <v>4</v>
      </c>
      <c r="C6" s="78">
        <v>8.3577999999999992</v>
      </c>
      <c r="D6" s="78" t="s">
        <v>74</v>
      </c>
      <c r="E6" s="99">
        <v>11700</v>
      </c>
      <c r="F6" s="33">
        <v>97786.26</v>
      </c>
      <c r="G6" s="2">
        <v>0</v>
      </c>
      <c r="H6" s="2"/>
      <c r="I6" s="2">
        <f>G6*O5</f>
        <v>0</v>
      </c>
      <c r="J6" s="340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2"/>
    </row>
    <row r="7" spans="1:22" s="1" customFormat="1" ht="53.25" customHeight="1">
      <c r="A7" s="38">
        <v>3</v>
      </c>
      <c r="B7" s="22" t="s">
        <v>5</v>
      </c>
      <c r="C7" s="75">
        <v>40.716000000000001</v>
      </c>
      <c r="D7" s="78" t="s">
        <v>75</v>
      </c>
      <c r="E7" s="99">
        <v>1260</v>
      </c>
      <c r="F7" s="33">
        <v>51302.16</v>
      </c>
      <c r="G7" s="68">
        <v>900</v>
      </c>
      <c r="H7" s="68"/>
      <c r="I7" s="2">
        <f>N7*O7</f>
        <v>15515.999999999998</v>
      </c>
      <c r="J7" s="47">
        <v>35614</v>
      </c>
      <c r="K7" s="152" t="s">
        <v>106</v>
      </c>
      <c r="L7" s="153" t="s">
        <v>108</v>
      </c>
      <c r="M7" s="47">
        <v>15516</v>
      </c>
      <c r="N7" s="47">
        <v>900</v>
      </c>
      <c r="O7" s="75">
        <v>17.239999999999998</v>
      </c>
      <c r="P7" s="47">
        <v>0</v>
      </c>
      <c r="Q7" s="47">
        <v>0</v>
      </c>
      <c r="R7" s="47">
        <v>900</v>
      </c>
      <c r="S7" s="47">
        <f>R7*O7</f>
        <v>15515.999999999998</v>
      </c>
      <c r="T7" s="47">
        <f>N7-R7</f>
        <v>0</v>
      </c>
      <c r="U7" s="47">
        <f>T7*O7</f>
        <v>0</v>
      </c>
    </row>
    <row r="8" spans="1:22" s="1" customFormat="1" ht="48.75" customHeight="1">
      <c r="A8" s="38">
        <v>4</v>
      </c>
      <c r="B8" s="22" t="s">
        <v>6</v>
      </c>
      <c r="C8" s="11" t="s">
        <v>68</v>
      </c>
      <c r="D8" s="78" t="s">
        <v>75</v>
      </c>
      <c r="E8" s="99">
        <v>4400</v>
      </c>
      <c r="F8" s="33">
        <v>121000</v>
      </c>
      <c r="G8" s="68">
        <v>3500</v>
      </c>
      <c r="H8" s="68"/>
      <c r="I8" s="2">
        <f>(N8*O8)+S8</f>
        <v>77000</v>
      </c>
      <c r="J8" s="52">
        <v>89155</v>
      </c>
      <c r="K8" s="147" t="s">
        <v>110</v>
      </c>
      <c r="L8" s="154" t="s">
        <v>111</v>
      </c>
      <c r="M8" s="52">
        <v>38500</v>
      </c>
      <c r="N8" s="47">
        <v>3500</v>
      </c>
      <c r="O8" s="47">
        <v>11</v>
      </c>
      <c r="P8" s="47">
        <v>0</v>
      </c>
      <c r="Q8" s="47">
        <v>0</v>
      </c>
      <c r="R8" s="47">
        <v>3500</v>
      </c>
      <c r="S8" s="47">
        <f t="shared" ref="S8:S12" si="0">R8*O8</f>
        <v>38500</v>
      </c>
      <c r="T8" s="47">
        <f t="shared" ref="T8:T12" si="1">N8-R8</f>
        <v>0</v>
      </c>
      <c r="U8" s="47">
        <f t="shared" ref="U8:U12" si="2">T8*O8</f>
        <v>0</v>
      </c>
    </row>
    <row r="9" spans="1:22" s="1" customFormat="1" ht="60" customHeight="1">
      <c r="A9" s="38">
        <v>5</v>
      </c>
      <c r="B9" s="22" t="s">
        <v>8</v>
      </c>
      <c r="C9" s="78" t="s">
        <v>69</v>
      </c>
      <c r="D9" s="78" t="s">
        <v>75</v>
      </c>
      <c r="E9" s="99">
        <v>8450</v>
      </c>
      <c r="F9" s="33">
        <v>139425</v>
      </c>
      <c r="G9" s="68">
        <v>6750</v>
      </c>
      <c r="H9" s="68"/>
      <c r="I9" s="2">
        <f>N9*O9</f>
        <v>44550</v>
      </c>
      <c r="J9" s="52">
        <v>105784</v>
      </c>
      <c r="K9" s="147" t="s">
        <v>112</v>
      </c>
      <c r="L9" s="154" t="s">
        <v>113</v>
      </c>
      <c r="M9" s="52">
        <v>44550</v>
      </c>
      <c r="N9" s="47">
        <v>6750</v>
      </c>
      <c r="O9" s="47">
        <v>6.6</v>
      </c>
      <c r="P9" s="47">
        <v>0</v>
      </c>
      <c r="Q9" s="47">
        <v>0</v>
      </c>
      <c r="R9" s="47">
        <v>6750</v>
      </c>
      <c r="S9" s="47">
        <f t="shared" si="0"/>
        <v>44550</v>
      </c>
      <c r="T9" s="47">
        <f t="shared" si="1"/>
        <v>0</v>
      </c>
      <c r="U9" s="47">
        <f t="shared" si="2"/>
        <v>0</v>
      </c>
    </row>
    <row r="10" spans="1:22" s="1" customFormat="1" ht="55.5" customHeight="1">
      <c r="A10" s="38">
        <v>6</v>
      </c>
      <c r="B10" s="22" t="s">
        <v>7</v>
      </c>
      <c r="C10" s="72">
        <v>84.254999999999995</v>
      </c>
      <c r="D10" s="78" t="s">
        <v>75</v>
      </c>
      <c r="E10" s="99">
        <v>1050</v>
      </c>
      <c r="F10" s="33">
        <v>88467.75</v>
      </c>
      <c r="G10" s="68">
        <v>600</v>
      </c>
      <c r="H10" s="68"/>
      <c r="I10" s="2">
        <v>50553</v>
      </c>
      <c r="J10" s="47">
        <v>49602</v>
      </c>
      <c r="K10" s="147" t="s">
        <v>114</v>
      </c>
      <c r="L10" s="153" t="s">
        <v>115</v>
      </c>
      <c r="M10" s="47">
        <v>21420</v>
      </c>
      <c r="N10" s="47">
        <v>600</v>
      </c>
      <c r="O10" s="72">
        <v>35.700000000000003</v>
      </c>
      <c r="P10" s="47">
        <v>0</v>
      </c>
      <c r="Q10" s="47">
        <v>0</v>
      </c>
      <c r="R10" s="47">
        <v>600</v>
      </c>
      <c r="S10" s="47">
        <f t="shared" si="0"/>
        <v>21420</v>
      </c>
      <c r="T10" s="47">
        <f t="shared" si="1"/>
        <v>0</v>
      </c>
      <c r="U10" s="47">
        <f t="shared" si="2"/>
        <v>0</v>
      </c>
    </row>
    <row r="11" spans="1:22" s="1" customFormat="1" ht="48.75" customHeight="1">
      <c r="A11" s="38">
        <v>7</v>
      </c>
      <c r="B11" s="32" t="s">
        <v>9</v>
      </c>
      <c r="C11" s="33">
        <v>0</v>
      </c>
      <c r="D11" s="78" t="s">
        <v>75</v>
      </c>
      <c r="E11" s="99">
        <v>730</v>
      </c>
      <c r="F11" s="33">
        <v>25228.799999999999</v>
      </c>
      <c r="G11" s="68">
        <v>960</v>
      </c>
      <c r="H11" s="68"/>
      <c r="I11" s="2">
        <v>5628</v>
      </c>
      <c r="J11" s="324">
        <v>27743</v>
      </c>
      <c r="K11" s="324" t="s">
        <v>308</v>
      </c>
      <c r="L11" s="330" t="s">
        <v>309</v>
      </c>
      <c r="M11" s="324">
        <v>17952</v>
      </c>
      <c r="N11" s="47">
        <v>360</v>
      </c>
      <c r="O11" s="47">
        <v>18.7</v>
      </c>
      <c r="P11" s="332"/>
      <c r="Q11" s="324">
        <v>9791</v>
      </c>
      <c r="R11" s="47"/>
      <c r="S11" s="47">
        <f t="shared" si="0"/>
        <v>0</v>
      </c>
      <c r="T11" s="47">
        <f t="shared" si="1"/>
        <v>360</v>
      </c>
      <c r="U11" s="47">
        <f t="shared" si="2"/>
        <v>6732</v>
      </c>
    </row>
    <row r="12" spans="1:22" s="1" customFormat="1" ht="45" customHeight="1">
      <c r="A12" s="38">
        <v>8</v>
      </c>
      <c r="B12" s="32" t="s">
        <v>10</v>
      </c>
      <c r="C12" s="33">
        <v>0</v>
      </c>
      <c r="D12" s="78" t="s">
        <v>75</v>
      </c>
      <c r="E12" s="99">
        <v>1230</v>
      </c>
      <c r="F12" s="33">
        <v>42508.800000000003</v>
      </c>
      <c r="G12" s="68">
        <v>1000</v>
      </c>
      <c r="H12" s="68"/>
      <c r="I12" s="2">
        <v>25326</v>
      </c>
      <c r="J12" s="325"/>
      <c r="K12" s="325"/>
      <c r="L12" s="331"/>
      <c r="M12" s="325"/>
      <c r="N12" s="47">
        <v>600</v>
      </c>
      <c r="O12" s="47">
        <v>18.7</v>
      </c>
      <c r="P12" s="333"/>
      <c r="Q12" s="325"/>
      <c r="R12" s="47"/>
      <c r="S12" s="47">
        <f t="shared" si="0"/>
        <v>0</v>
      </c>
      <c r="T12" s="47">
        <f t="shared" si="1"/>
        <v>600</v>
      </c>
      <c r="U12" s="47">
        <f t="shared" si="2"/>
        <v>11220</v>
      </c>
    </row>
    <row r="13" spans="1:22" s="1" customFormat="1" ht="18" customHeight="1">
      <c r="A13" s="38"/>
      <c r="B13" s="32" t="s">
        <v>116</v>
      </c>
      <c r="C13" s="33"/>
      <c r="D13" s="33"/>
      <c r="E13" s="99"/>
      <c r="F13" s="157">
        <f>SUM(F5:F12)</f>
        <v>688996.32000000007</v>
      </c>
      <c r="G13" s="2"/>
      <c r="H13" s="2"/>
      <c r="I13" s="73">
        <v>550000</v>
      </c>
      <c r="J13" s="156">
        <f>J7+J8+J9+J10+J11</f>
        <v>307898</v>
      </c>
      <c r="K13" s="47"/>
      <c r="L13" s="47"/>
      <c r="M13" s="47">
        <f>SUM(M7:M12)</f>
        <v>137938</v>
      </c>
      <c r="N13" s="47"/>
      <c r="O13" s="47"/>
      <c r="P13" s="155">
        <v>201893</v>
      </c>
      <c r="Q13" s="47"/>
      <c r="R13" s="47"/>
      <c r="S13" s="47"/>
      <c r="T13" s="47"/>
      <c r="U13" s="158"/>
    </row>
    <row r="14" spans="1:22" s="1" customFormat="1" ht="30.75" customHeight="1">
      <c r="A14" s="8"/>
      <c r="B14" s="159"/>
      <c r="C14" s="160"/>
      <c r="D14" s="160"/>
      <c r="E14" s="161"/>
      <c r="F14" s="160"/>
      <c r="G14" s="131"/>
      <c r="H14" s="131"/>
      <c r="I14" s="2"/>
      <c r="J14" s="162"/>
      <c r="K14" s="163"/>
      <c r="L14" s="163"/>
      <c r="M14" s="163"/>
      <c r="N14" s="163"/>
      <c r="O14" s="164"/>
      <c r="P14" s="47"/>
      <c r="Q14" s="47"/>
      <c r="R14" s="47"/>
      <c r="S14" s="47"/>
      <c r="T14" s="47"/>
      <c r="U14" s="47"/>
    </row>
    <row r="15" spans="1:22" s="1" customFormat="1" ht="59.25" customHeight="1">
      <c r="A15" s="322" t="s">
        <v>54</v>
      </c>
      <c r="B15" s="323"/>
      <c r="C15" s="323"/>
      <c r="D15" s="323"/>
      <c r="E15" s="323"/>
      <c r="F15" s="323"/>
      <c r="G15" s="323"/>
      <c r="H15" s="344"/>
      <c r="I15" s="111">
        <v>5550200</v>
      </c>
      <c r="J15" s="326" t="s">
        <v>102</v>
      </c>
      <c r="K15" s="327"/>
      <c r="L15" s="327"/>
      <c r="M15" s="327"/>
      <c r="N15" s="327"/>
      <c r="O15" s="328"/>
      <c r="P15" s="329" t="s">
        <v>103</v>
      </c>
      <c r="Q15" s="329"/>
      <c r="R15" s="343" t="s">
        <v>104</v>
      </c>
      <c r="S15" s="343"/>
      <c r="T15" s="343"/>
      <c r="U15" s="343"/>
    </row>
    <row r="16" spans="1:22" s="1" customFormat="1" ht="90.75" customHeight="1">
      <c r="A16" s="15" t="s">
        <v>0</v>
      </c>
      <c r="B16" s="16" t="s">
        <v>1</v>
      </c>
      <c r="C16" s="5" t="s">
        <v>52</v>
      </c>
      <c r="D16" s="5" t="s">
        <v>73</v>
      </c>
      <c r="E16" s="98" t="s">
        <v>90</v>
      </c>
      <c r="F16" s="90" t="s">
        <v>93</v>
      </c>
      <c r="G16" s="62" t="s">
        <v>89</v>
      </c>
      <c r="H16" s="62" t="s">
        <v>97</v>
      </c>
      <c r="I16" s="62" t="s">
        <v>94</v>
      </c>
      <c r="J16" s="143" t="s">
        <v>109</v>
      </c>
      <c r="K16" s="143" t="s">
        <v>107</v>
      </c>
      <c r="L16" s="143" t="s">
        <v>100</v>
      </c>
      <c r="M16" s="143" t="s">
        <v>46</v>
      </c>
      <c r="N16" s="145" t="s">
        <v>47</v>
      </c>
      <c r="O16" s="143" t="s">
        <v>101</v>
      </c>
      <c r="P16" s="42" t="s">
        <v>53</v>
      </c>
      <c r="Q16" s="42" t="s">
        <v>48</v>
      </c>
      <c r="R16" s="43" t="s">
        <v>49</v>
      </c>
      <c r="S16" s="44" t="s">
        <v>50</v>
      </c>
      <c r="T16" s="43" t="s">
        <v>51</v>
      </c>
      <c r="U16" s="44" t="s">
        <v>50</v>
      </c>
    </row>
    <row r="17" spans="1:22" s="1" customFormat="1" ht="45.75">
      <c r="A17" s="38">
        <v>7</v>
      </c>
      <c r="B17" s="23" t="s">
        <v>11</v>
      </c>
      <c r="C17" s="80">
        <v>8.5289970000000004</v>
      </c>
      <c r="D17" s="78" t="s">
        <v>79</v>
      </c>
      <c r="E17" s="99">
        <v>204500</v>
      </c>
      <c r="F17" s="33">
        <v>1744179.89</v>
      </c>
      <c r="G17" s="68">
        <v>378600</v>
      </c>
      <c r="H17" s="136">
        <v>9.4831199999999995</v>
      </c>
      <c r="I17" s="2">
        <f>H17*G17</f>
        <v>3590309.2319999998</v>
      </c>
      <c r="J17" s="47">
        <v>3593444</v>
      </c>
      <c r="K17" s="147" t="s">
        <v>117</v>
      </c>
      <c r="L17" s="153" t="s">
        <v>118</v>
      </c>
      <c r="M17" s="47">
        <v>1355388</v>
      </c>
      <c r="N17" s="47">
        <v>378600</v>
      </c>
      <c r="O17" s="70">
        <v>3.58</v>
      </c>
      <c r="P17" s="47">
        <v>0</v>
      </c>
      <c r="Q17" s="47">
        <v>0</v>
      </c>
      <c r="R17" s="47">
        <v>140625</v>
      </c>
      <c r="S17" s="75">
        <f>R17*O17</f>
        <v>503437.5</v>
      </c>
      <c r="T17" s="47">
        <f>N17-R17</f>
        <v>237975</v>
      </c>
      <c r="U17" s="47">
        <f>T17*O17</f>
        <v>851950.5</v>
      </c>
      <c r="V17" s="220" t="s">
        <v>305</v>
      </c>
    </row>
    <row r="18" spans="1:22" s="1" customFormat="1" ht="45.75">
      <c r="A18" s="38">
        <v>8</v>
      </c>
      <c r="B18" s="23" t="s">
        <v>12</v>
      </c>
      <c r="C18" s="79">
        <v>5.9042500000000002</v>
      </c>
      <c r="D18" s="78" t="s">
        <v>79</v>
      </c>
      <c r="E18" s="99">
        <v>124700</v>
      </c>
      <c r="F18" s="33">
        <f>E18*C18</f>
        <v>736259.97499999998</v>
      </c>
      <c r="G18" s="68">
        <v>155000</v>
      </c>
      <c r="H18" s="135">
        <v>6.0057</v>
      </c>
      <c r="I18" s="2">
        <f t="shared" ref="I18:I20" si="3">H18*G18</f>
        <v>930883.5</v>
      </c>
      <c r="J18" s="324">
        <v>2071984</v>
      </c>
      <c r="K18" s="52" t="s">
        <v>121</v>
      </c>
      <c r="L18" s="330" t="s">
        <v>122</v>
      </c>
      <c r="M18" s="324">
        <v>862500</v>
      </c>
      <c r="N18" s="47">
        <v>155000</v>
      </c>
      <c r="O18" s="165">
        <v>2.5</v>
      </c>
      <c r="P18" s="47">
        <v>0</v>
      </c>
      <c r="Q18" s="47">
        <v>0</v>
      </c>
      <c r="R18" s="47">
        <v>155000</v>
      </c>
      <c r="S18" s="75">
        <f t="shared" ref="S18:S19" si="4">R18*O18</f>
        <v>387500</v>
      </c>
      <c r="T18" s="47">
        <f t="shared" ref="T18:T20" si="5">N18-R18</f>
        <v>0</v>
      </c>
      <c r="U18" s="47">
        <f t="shared" ref="U18:U20" si="6">T18*O18</f>
        <v>0</v>
      </c>
      <c r="V18" s="221"/>
    </row>
    <row r="19" spans="1:22" s="1" customFormat="1" ht="45.75">
      <c r="A19" s="38">
        <v>9</v>
      </c>
      <c r="B19" s="23" t="s">
        <v>13</v>
      </c>
      <c r="C19" s="79">
        <v>5.9042500000000002</v>
      </c>
      <c r="D19" s="78" t="s">
        <v>79</v>
      </c>
      <c r="E19" s="99">
        <v>159260</v>
      </c>
      <c r="F19" s="33">
        <f t="shared" ref="F19:F20" si="7">E19*C19</f>
        <v>940310.85499999998</v>
      </c>
      <c r="G19" s="68">
        <v>190000</v>
      </c>
      <c r="H19" s="135">
        <v>6.0057</v>
      </c>
      <c r="I19" s="2">
        <f t="shared" si="3"/>
        <v>1141083</v>
      </c>
      <c r="J19" s="325"/>
      <c r="K19" s="148"/>
      <c r="L19" s="331"/>
      <c r="M19" s="325"/>
      <c r="N19" s="47">
        <v>190000</v>
      </c>
      <c r="O19" s="165">
        <v>2.5</v>
      </c>
      <c r="P19" s="47">
        <v>0</v>
      </c>
      <c r="Q19" s="47">
        <v>0</v>
      </c>
      <c r="R19" s="47">
        <v>190000</v>
      </c>
      <c r="S19" s="75">
        <f t="shared" si="4"/>
        <v>475000</v>
      </c>
      <c r="T19" s="47">
        <f t="shared" si="5"/>
        <v>0</v>
      </c>
      <c r="U19" s="47">
        <f t="shared" si="6"/>
        <v>0</v>
      </c>
      <c r="V19" s="221"/>
    </row>
    <row r="20" spans="1:22" s="1" customFormat="1" ht="47.25" customHeight="1">
      <c r="A20" s="38">
        <v>10</v>
      </c>
      <c r="B20" s="34" t="s">
        <v>14</v>
      </c>
      <c r="C20" s="56">
        <v>15.7</v>
      </c>
      <c r="D20" s="78" t="s">
        <v>79</v>
      </c>
      <c r="E20" s="99">
        <v>182200</v>
      </c>
      <c r="F20" s="33">
        <f t="shared" si="7"/>
        <v>2860540</v>
      </c>
      <c r="G20" s="68">
        <v>396000</v>
      </c>
      <c r="H20" s="136">
        <v>16.463750000000001</v>
      </c>
      <c r="I20" s="2">
        <f t="shared" si="3"/>
        <v>6519645</v>
      </c>
      <c r="J20" s="47">
        <v>6525338</v>
      </c>
      <c r="K20" s="154" t="s">
        <v>120</v>
      </c>
      <c r="L20" s="153" t="s">
        <v>119</v>
      </c>
      <c r="M20" s="47">
        <v>2463120</v>
      </c>
      <c r="N20" s="47">
        <v>396000</v>
      </c>
      <c r="O20" s="47">
        <v>6.22</v>
      </c>
      <c r="P20" s="47">
        <v>0</v>
      </c>
      <c r="Q20" s="47">
        <v>0</v>
      </c>
      <c r="R20" s="47">
        <v>182160</v>
      </c>
      <c r="S20" s="75">
        <f>R20*O20</f>
        <v>1133035.2</v>
      </c>
      <c r="T20" s="47">
        <f t="shared" si="5"/>
        <v>213840</v>
      </c>
      <c r="U20" s="47">
        <f t="shared" si="6"/>
        <v>1330084.8</v>
      </c>
      <c r="V20" s="220" t="s">
        <v>306</v>
      </c>
    </row>
    <row r="21" spans="1:22" s="1" customFormat="1" ht="21" customHeight="1">
      <c r="A21" s="38"/>
      <c r="B21" s="34"/>
      <c r="C21" s="56"/>
      <c r="D21" s="56"/>
      <c r="E21" s="100"/>
      <c r="F21" s="112">
        <f>SUM(F17:F20)</f>
        <v>6281290.7199999997</v>
      </c>
      <c r="G21" s="2"/>
      <c r="H21" s="2"/>
      <c r="I21" s="73">
        <f>SUM(I17:I20)</f>
        <v>12181920.732000001</v>
      </c>
      <c r="J21" s="47">
        <f>SUM(J17:J20)</f>
        <v>12190766</v>
      </c>
      <c r="K21" s="47"/>
      <c r="L21" s="47"/>
      <c r="M21" s="47"/>
      <c r="N21" s="47"/>
      <c r="O21" s="47"/>
      <c r="P21" s="47">
        <v>0</v>
      </c>
      <c r="Q21" s="47">
        <v>0</v>
      </c>
      <c r="R21" s="47"/>
      <c r="S21" s="47"/>
      <c r="T21" s="47"/>
      <c r="U21" s="47">
        <f>SUM(U17:U20)</f>
        <v>2182035.2999999998</v>
      </c>
      <c r="V21" s="222"/>
    </row>
    <row r="22" spans="1:22" s="66" customFormat="1" ht="16.5" customHeight="1">
      <c r="A22" s="65"/>
      <c r="B22" s="59" t="s">
        <v>59</v>
      </c>
      <c r="C22" s="65"/>
      <c r="D22" s="65"/>
      <c r="E22" s="101"/>
      <c r="F22" s="91"/>
      <c r="G22" s="2"/>
      <c r="H22" s="2"/>
      <c r="I22" s="2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71"/>
    </row>
    <row r="23" spans="1:22" s="66" customFormat="1" ht="16.5" customHeight="1">
      <c r="A23" s="166"/>
      <c r="B23" s="167"/>
      <c r="C23" s="168"/>
      <c r="D23" s="168"/>
      <c r="E23" s="169"/>
      <c r="F23" s="170"/>
      <c r="G23" s="171"/>
      <c r="H23" s="171"/>
      <c r="I23" s="172"/>
      <c r="J23" s="162"/>
      <c r="K23" s="163"/>
      <c r="L23" s="163"/>
      <c r="M23" s="163"/>
      <c r="N23" s="163"/>
      <c r="O23" s="164"/>
      <c r="P23" s="47"/>
      <c r="Q23" s="47"/>
      <c r="R23" s="47"/>
      <c r="S23" s="47"/>
      <c r="T23" s="47"/>
      <c r="U23" s="47"/>
      <c r="V23" s="71"/>
    </row>
    <row r="24" spans="1:22" s="1" customFormat="1" ht="45.75" customHeight="1">
      <c r="A24" s="345" t="s">
        <v>55</v>
      </c>
      <c r="B24" s="345"/>
      <c r="C24" s="345"/>
      <c r="D24" s="345"/>
      <c r="E24" s="345"/>
      <c r="F24" s="345"/>
      <c r="G24" s="345"/>
      <c r="H24" s="345"/>
      <c r="I24" s="111">
        <v>251800</v>
      </c>
      <c r="J24" s="326" t="s">
        <v>102</v>
      </c>
      <c r="K24" s="327"/>
      <c r="L24" s="327"/>
      <c r="M24" s="327"/>
      <c r="N24" s="327"/>
      <c r="O24" s="328"/>
      <c r="P24" s="329" t="s">
        <v>103</v>
      </c>
      <c r="Q24" s="329"/>
      <c r="R24" s="343" t="s">
        <v>104</v>
      </c>
      <c r="S24" s="343"/>
      <c r="T24" s="343"/>
      <c r="U24" s="343"/>
    </row>
    <row r="25" spans="1:22" s="1" customFormat="1" ht="102.75" customHeight="1">
      <c r="A25" s="15" t="s">
        <v>0</v>
      </c>
      <c r="B25" s="16" t="s">
        <v>1</v>
      </c>
      <c r="C25" s="5" t="s">
        <v>52</v>
      </c>
      <c r="D25" s="5" t="s">
        <v>73</v>
      </c>
      <c r="E25" s="98" t="s">
        <v>90</v>
      </c>
      <c r="F25" s="90" t="s">
        <v>93</v>
      </c>
      <c r="G25" s="62" t="s">
        <v>89</v>
      </c>
      <c r="H25" s="62" t="s">
        <v>97</v>
      </c>
      <c r="I25" s="62" t="s">
        <v>94</v>
      </c>
      <c r="J25" s="143" t="s">
        <v>109</v>
      </c>
      <c r="K25" s="143" t="s">
        <v>107</v>
      </c>
      <c r="L25" s="143" t="s">
        <v>100</v>
      </c>
      <c r="M25" s="143" t="s">
        <v>46</v>
      </c>
      <c r="N25" s="145" t="s">
        <v>47</v>
      </c>
      <c r="O25" s="143" t="s">
        <v>101</v>
      </c>
      <c r="P25" s="42" t="s">
        <v>53</v>
      </c>
      <c r="Q25" s="42" t="s">
        <v>48</v>
      </c>
      <c r="R25" s="43" t="s">
        <v>49</v>
      </c>
      <c r="S25" s="44" t="s">
        <v>50</v>
      </c>
      <c r="T25" s="43" t="s">
        <v>51</v>
      </c>
      <c r="U25" s="44" t="s">
        <v>50</v>
      </c>
    </row>
    <row r="26" spans="1:22" s="1" customFormat="1" ht="42.75" customHeight="1">
      <c r="A26" s="38">
        <v>1</v>
      </c>
      <c r="B26" s="23" t="s">
        <v>15</v>
      </c>
      <c r="C26" s="4">
        <v>21.39</v>
      </c>
      <c r="D26" s="78" t="s">
        <v>80</v>
      </c>
      <c r="E26" s="99">
        <v>7050</v>
      </c>
      <c r="F26" s="33">
        <f>E26*C26</f>
        <v>150799.5</v>
      </c>
      <c r="G26" s="68">
        <v>10000</v>
      </c>
      <c r="H26" s="135">
        <v>22.217199999999998</v>
      </c>
      <c r="I26" s="2">
        <f>H26*G26</f>
        <v>222171.99999999997</v>
      </c>
      <c r="J26" s="47">
        <v>222172</v>
      </c>
      <c r="K26" s="147" t="s">
        <v>123</v>
      </c>
      <c r="L26" s="153" t="s">
        <v>124</v>
      </c>
      <c r="M26" s="47">
        <v>95000</v>
      </c>
      <c r="N26" s="47">
        <v>10000</v>
      </c>
      <c r="O26" s="47">
        <v>9.5</v>
      </c>
      <c r="P26" s="47">
        <v>0</v>
      </c>
      <c r="Q26" s="47">
        <f>J26-M26</f>
        <v>127172</v>
      </c>
      <c r="R26" s="47">
        <v>10000</v>
      </c>
      <c r="S26" s="47">
        <f>R26*O26</f>
        <v>95000</v>
      </c>
      <c r="T26" s="47">
        <f>N26-R26</f>
        <v>0</v>
      </c>
      <c r="U26" s="47">
        <f>T26*O26</f>
        <v>0</v>
      </c>
      <c r="V26" s="54"/>
    </row>
    <row r="27" spans="1:22" s="1" customFormat="1" ht="15.75" customHeight="1">
      <c r="A27" s="38"/>
      <c r="B27" s="23"/>
      <c r="C27" s="4"/>
      <c r="D27" s="7"/>
      <c r="E27" s="102"/>
      <c r="F27" s="113">
        <v>150799.5</v>
      </c>
      <c r="G27" s="60"/>
      <c r="H27" s="60"/>
      <c r="I27" s="74">
        <v>222172</v>
      </c>
      <c r="J27" s="47"/>
      <c r="K27" s="47"/>
      <c r="L27" s="47"/>
      <c r="M27" s="47">
        <v>95000</v>
      </c>
      <c r="N27" s="47"/>
      <c r="O27" s="47"/>
      <c r="P27" s="47"/>
      <c r="Q27" s="47">
        <v>127172</v>
      </c>
      <c r="R27" s="47"/>
      <c r="S27" s="47"/>
      <c r="T27" s="47"/>
      <c r="U27" s="47"/>
    </row>
    <row r="28" spans="1:22" s="1" customFormat="1">
      <c r="A28" s="45"/>
      <c r="B28" s="83" t="s">
        <v>60</v>
      </c>
      <c r="C28" s="45"/>
      <c r="D28" s="88"/>
      <c r="E28" s="103"/>
      <c r="F28" s="92"/>
      <c r="G28" s="60"/>
      <c r="H28" s="60"/>
      <c r="I28" s="60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2" s="1" customFormat="1">
      <c r="A29" s="118"/>
      <c r="B29" s="119"/>
      <c r="C29" s="120"/>
      <c r="D29" s="121"/>
      <c r="E29" s="122"/>
      <c r="F29" s="123">
        <f>F27+F21+F13</f>
        <v>7121086.54</v>
      </c>
      <c r="G29" s="115"/>
      <c r="H29" s="115"/>
      <c r="I29" s="116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</row>
  </sheetData>
  <mergeCells count="24">
    <mergeCell ref="R3:U3"/>
    <mergeCell ref="J24:O24"/>
    <mergeCell ref="P24:Q24"/>
    <mergeCell ref="R24:U24"/>
    <mergeCell ref="A24:H24"/>
    <mergeCell ref="J18:J19"/>
    <mergeCell ref="M18:M19"/>
    <mergeCell ref="L18:L19"/>
    <mergeCell ref="J2:M2"/>
    <mergeCell ref="A3:G3"/>
    <mergeCell ref="J11:J12"/>
    <mergeCell ref="J15:O15"/>
    <mergeCell ref="P15:Q15"/>
    <mergeCell ref="K11:K12"/>
    <mergeCell ref="L11:L12"/>
    <mergeCell ref="M11:M12"/>
    <mergeCell ref="P11:P12"/>
    <mergeCell ref="Q11:Q12"/>
    <mergeCell ref="A2:G2"/>
    <mergeCell ref="J3:O3"/>
    <mergeCell ref="P3:Q3"/>
    <mergeCell ref="J5:U6"/>
    <mergeCell ref="R15:U15"/>
    <mergeCell ref="A15:H15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11"/>
  <sheetViews>
    <sheetView workbookViewId="0">
      <selection activeCell="R10" sqref="R10"/>
    </sheetView>
  </sheetViews>
  <sheetFormatPr defaultRowHeight="15"/>
  <cols>
    <col min="2" max="2" width="28.7109375" customWidth="1"/>
    <col min="3" max="3" width="17.85546875" customWidth="1"/>
    <col min="4" max="4" width="17.85546875" style="1" customWidth="1"/>
    <col min="6" max="7" width="9.140625" style="1"/>
    <col min="9" max="9" width="9.140625" style="1"/>
    <col min="11" max="11" width="9.140625" style="1"/>
    <col min="15" max="15" width="13.7109375" customWidth="1"/>
    <col min="16" max="16" width="13.7109375" style="1" customWidth="1"/>
    <col min="18" max="18" width="10.85546875" style="1" bestFit="1" customWidth="1"/>
    <col min="19" max="19" width="19.42578125" customWidth="1"/>
  </cols>
  <sheetData>
    <row r="3" spans="1:20" s="1" customFormat="1">
      <c r="A3" s="484" t="s">
        <v>342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</row>
    <row r="4" spans="1:20" s="1" customFormat="1" ht="78.75">
      <c r="A4" s="15" t="s">
        <v>0</v>
      </c>
      <c r="B4" s="16" t="s">
        <v>1</v>
      </c>
      <c r="C4" s="5" t="s">
        <v>326</v>
      </c>
      <c r="D4" s="5" t="s">
        <v>369</v>
      </c>
      <c r="E4" s="5" t="s">
        <v>371</v>
      </c>
      <c r="F4" s="5"/>
      <c r="G4" s="5" t="s">
        <v>368</v>
      </c>
      <c r="H4" s="5" t="s">
        <v>370</v>
      </c>
      <c r="I4" s="308" t="s">
        <v>372</v>
      </c>
      <c r="J4" s="5" t="s">
        <v>359</v>
      </c>
      <c r="K4" s="308" t="s">
        <v>373</v>
      </c>
      <c r="L4" s="5" t="s">
        <v>361</v>
      </c>
      <c r="M4" s="5" t="s">
        <v>362</v>
      </c>
      <c r="N4" s="5" t="s">
        <v>363</v>
      </c>
      <c r="O4" s="5" t="s">
        <v>364</v>
      </c>
      <c r="P4" s="308" t="s">
        <v>374</v>
      </c>
      <c r="Q4" s="5" t="s">
        <v>365</v>
      </c>
      <c r="R4" s="308" t="s">
        <v>375</v>
      </c>
      <c r="S4" s="5" t="s">
        <v>366</v>
      </c>
    </row>
    <row r="5" spans="1:20" s="1" customFormat="1">
      <c r="A5" s="24">
        <v>1</v>
      </c>
      <c r="B5" s="25" t="s">
        <v>33</v>
      </c>
      <c r="C5" s="289">
        <v>82.5</v>
      </c>
      <c r="D5" s="289">
        <f>C5/G5</f>
        <v>0.33</v>
      </c>
      <c r="E5" s="192">
        <v>3200</v>
      </c>
      <c r="F5" s="192">
        <v>800000</v>
      </c>
      <c r="G5" s="192">
        <f>F5/E5</f>
        <v>250</v>
      </c>
      <c r="H5" s="192">
        <v>381.1</v>
      </c>
      <c r="I5" s="231">
        <f>H5*G5</f>
        <v>95275</v>
      </c>
      <c r="J5" s="192">
        <v>692</v>
      </c>
      <c r="K5" s="231">
        <f>J5*G5</f>
        <v>173000</v>
      </c>
      <c r="L5" s="192">
        <v>0</v>
      </c>
      <c r="M5" s="192">
        <f>J5+L5-H5*3</f>
        <v>-451.30000000000018</v>
      </c>
      <c r="N5" s="192">
        <f>M5/H5</f>
        <v>-1.1842036210968254</v>
      </c>
      <c r="O5" s="185">
        <f>H5*12</f>
        <v>4573.2000000000007</v>
      </c>
      <c r="P5" s="309">
        <f>I5*12</f>
        <v>1143300</v>
      </c>
      <c r="Q5" s="185">
        <f>H5*15</f>
        <v>5716.5</v>
      </c>
      <c r="R5" s="309">
        <f>I5*15</f>
        <v>1429125</v>
      </c>
      <c r="S5" s="185">
        <f t="shared" ref="S5:S10" si="0">C5*Q5</f>
        <v>471611.25</v>
      </c>
      <c r="T5" s="1">
        <f t="shared" ref="T5:T10" si="1">R5*D5</f>
        <v>471611.25</v>
      </c>
    </row>
    <row r="6" spans="1:20" s="1" customFormat="1">
      <c r="A6" s="26">
        <v>2</v>
      </c>
      <c r="B6" s="29" t="s">
        <v>34</v>
      </c>
      <c r="C6" s="289">
        <v>140</v>
      </c>
      <c r="D6" s="289">
        <f t="shared" ref="D6:D10" si="2">C6/G6</f>
        <v>0.28000000000000003</v>
      </c>
      <c r="E6" s="192">
        <v>14400</v>
      </c>
      <c r="F6" s="192">
        <v>7200000</v>
      </c>
      <c r="G6" s="192">
        <f t="shared" ref="G6:G10" si="3">F6/E6</f>
        <v>500</v>
      </c>
      <c r="H6" s="192">
        <v>1195.2</v>
      </c>
      <c r="I6" s="231">
        <f t="shared" ref="I6:I10" si="4">H6*G6</f>
        <v>597600</v>
      </c>
      <c r="J6" s="192">
        <v>2450</v>
      </c>
      <c r="K6" s="231">
        <f t="shared" ref="K6:K10" si="5">J6*G6</f>
        <v>1225000</v>
      </c>
      <c r="L6" s="192">
        <v>4000</v>
      </c>
      <c r="M6" s="192">
        <f t="shared" ref="M6:M10" si="6">J6+L6-H6*3</f>
        <v>2864.3999999999996</v>
      </c>
      <c r="N6" s="192">
        <f>M6/H6</f>
        <v>2.3965863453815257</v>
      </c>
      <c r="O6" s="185">
        <f t="shared" ref="O6:O10" si="7">H6*12</f>
        <v>14342.400000000001</v>
      </c>
      <c r="P6" s="309">
        <f t="shared" ref="P6:P10" si="8">I6*12</f>
        <v>7171200</v>
      </c>
      <c r="Q6" s="185">
        <f>H6*13</f>
        <v>15537.6</v>
      </c>
      <c r="R6" s="309">
        <f>I6*13</f>
        <v>7768800</v>
      </c>
      <c r="S6" s="185">
        <f t="shared" si="0"/>
        <v>2175264</v>
      </c>
      <c r="T6" s="1">
        <f t="shared" si="1"/>
        <v>2175264</v>
      </c>
    </row>
    <row r="7" spans="1:20" s="1" customFormat="1" ht="23.25">
      <c r="A7" s="24">
        <v>3</v>
      </c>
      <c r="B7" s="27" t="s">
        <v>35</v>
      </c>
      <c r="C7" s="289">
        <v>275</v>
      </c>
      <c r="D7" s="289">
        <f t="shared" si="2"/>
        <v>0.55000000000000004</v>
      </c>
      <c r="E7" s="192">
        <v>440</v>
      </c>
      <c r="F7" s="192">
        <v>220000</v>
      </c>
      <c r="G7" s="192">
        <f t="shared" si="3"/>
        <v>500</v>
      </c>
      <c r="H7" s="192">
        <v>46.6</v>
      </c>
      <c r="I7" s="231">
        <f t="shared" si="4"/>
        <v>23300</v>
      </c>
      <c r="J7" s="192">
        <v>25</v>
      </c>
      <c r="K7" s="231">
        <f t="shared" si="5"/>
        <v>12500</v>
      </c>
      <c r="L7" s="192">
        <v>0</v>
      </c>
      <c r="M7" s="192">
        <f t="shared" si="6"/>
        <v>-114.80000000000001</v>
      </c>
      <c r="N7" s="192">
        <f t="shared" ref="N7:N10" si="9">M7/H7</f>
        <v>-2.4635193133047211</v>
      </c>
      <c r="O7" s="185">
        <f t="shared" si="7"/>
        <v>559.20000000000005</v>
      </c>
      <c r="P7" s="309">
        <f t="shared" si="8"/>
        <v>279600</v>
      </c>
      <c r="Q7" s="185">
        <f>H7*15</f>
        <v>699</v>
      </c>
      <c r="R7" s="309">
        <f t="shared" ref="R7:R10" si="10">I7*15</f>
        <v>349500</v>
      </c>
      <c r="S7" s="185">
        <f t="shared" si="0"/>
        <v>192225</v>
      </c>
      <c r="T7" s="1">
        <f t="shared" si="1"/>
        <v>192225.00000000003</v>
      </c>
    </row>
    <row r="8" spans="1:20" s="1" customFormat="1">
      <c r="A8" s="26">
        <v>4</v>
      </c>
      <c r="B8" s="28" t="s">
        <v>36</v>
      </c>
      <c r="C8" s="289">
        <v>449.5</v>
      </c>
      <c r="D8" s="289">
        <f t="shared" si="2"/>
        <v>1.798</v>
      </c>
      <c r="E8" s="192">
        <v>320</v>
      </c>
      <c r="F8" s="192">
        <v>80000</v>
      </c>
      <c r="G8" s="192">
        <f t="shared" si="3"/>
        <v>250</v>
      </c>
      <c r="H8" s="192">
        <v>38.5</v>
      </c>
      <c r="I8" s="231">
        <f t="shared" si="4"/>
        <v>9625</v>
      </c>
      <c r="J8" s="192">
        <v>172</v>
      </c>
      <c r="K8" s="231">
        <f t="shared" si="5"/>
        <v>43000</v>
      </c>
      <c r="L8" s="192">
        <v>0</v>
      </c>
      <c r="M8" s="192">
        <f t="shared" si="6"/>
        <v>56.5</v>
      </c>
      <c r="N8" s="192">
        <f t="shared" si="9"/>
        <v>1.4675324675324675</v>
      </c>
      <c r="O8" s="185">
        <f t="shared" si="7"/>
        <v>462</v>
      </c>
      <c r="P8" s="309">
        <f t="shared" si="8"/>
        <v>115500</v>
      </c>
      <c r="Q8" s="185">
        <f>H8*14</f>
        <v>539</v>
      </c>
      <c r="R8" s="309">
        <f>I8*14</f>
        <v>134750</v>
      </c>
      <c r="S8" s="185">
        <f t="shared" si="0"/>
        <v>242280.5</v>
      </c>
      <c r="T8" s="1">
        <f t="shared" si="1"/>
        <v>242280.5</v>
      </c>
    </row>
    <row r="9" spans="1:20" s="1" customFormat="1">
      <c r="A9" s="24">
        <v>5</v>
      </c>
      <c r="B9" s="23" t="s">
        <v>37</v>
      </c>
      <c r="C9" s="289">
        <f>670*2.4</f>
        <v>1608</v>
      </c>
      <c r="D9" s="289">
        <f t="shared" si="2"/>
        <v>1608</v>
      </c>
      <c r="E9" s="192">
        <v>90</v>
      </c>
      <c r="F9" s="192">
        <v>90</v>
      </c>
      <c r="G9" s="192">
        <f t="shared" si="3"/>
        <v>1</v>
      </c>
      <c r="H9" s="267">
        <v>7.5</v>
      </c>
      <c r="I9" s="231">
        <f t="shared" si="4"/>
        <v>7.5</v>
      </c>
      <c r="J9" s="192">
        <v>16</v>
      </c>
      <c r="K9" s="231">
        <f t="shared" si="5"/>
        <v>16</v>
      </c>
      <c r="L9" s="192">
        <v>0</v>
      </c>
      <c r="M9" s="192">
        <f t="shared" si="6"/>
        <v>-6.5</v>
      </c>
      <c r="N9" s="192">
        <f t="shared" si="9"/>
        <v>-0.8666666666666667</v>
      </c>
      <c r="O9" s="185">
        <f t="shared" si="7"/>
        <v>90</v>
      </c>
      <c r="P9" s="309">
        <f t="shared" si="8"/>
        <v>90</v>
      </c>
      <c r="Q9" s="185">
        <f>H9*15</f>
        <v>112.5</v>
      </c>
      <c r="R9" s="309">
        <f t="shared" si="10"/>
        <v>112.5</v>
      </c>
      <c r="S9" s="185">
        <f t="shared" si="0"/>
        <v>180900</v>
      </c>
      <c r="T9" s="1">
        <f t="shared" si="1"/>
        <v>180900</v>
      </c>
    </row>
    <row r="10" spans="1:20" s="1" customFormat="1" ht="23.25">
      <c r="A10" s="26">
        <v>6</v>
      </c>
      <c r="B10" s="22" t="s">
        <v>57</v>
      </c>
      <c r="C10" s="289">
        <v>1320</v>
      </c>
      <c r="D10" s="289">
        <f t="shared" si="2"/>
        <v>2.64</v>
      </c>
      <c r="E10" s="192">
        <v>400</v>
      </c>
      <c r="F10" s="192">
        <v>200000</v>
      </c>
      <c r="G10" s="192">
        <f t="shared" si="3"/>
        <v>500</v>
      </c>
      <c r="H10" s="267">
        <v>29.2</v>
      </c>
      <c r="I10" s="231">
        <f t="shared" si="4"/>
        <v>14600</v>
      </c>
      <c r="J10" s="192">
        <v>95</v>
      </c>
      <c r="K10" s="231">
        <f t="shared" si="5"/>
        <v>47500</v>
      </c>
      <c r="L10" s="192">
        <v>0</v>
      </c>
      <c r="M10" s="192">
        <f t="shared" si="6"/>
        <v>7.4000000000000057</v>
      </c>
      <c r="N10" s="192">
        <f t="shared" si="9"/>
        <v>0.25342465753424676</v>
      </c>
      <c r="O10" s="185">
        <f t="shared" si="7"/>
        <v>350.4</v>
      </c>
      <c r="P10" s="309">
        <f t="shared" si="8"/>
        <v>175200</v>
      </c>
      <c r="Q10" s="185">
        <f>H10*15</f>
        <v>438</v>
      </c>
      <c r="R10" s="309">
        <f t="shared" si="10"/>
        <v>219000</v>
      </c>
      <c r="S10" s="185">
        <f t="shared" si="0"/>
        <v>578160</v>
      </c>
      <c r="T10" s="1">
        <f t="shared" si="1"/>
        <v>578160</v>
      </c>
    </row>
    <row r="11" spans="1:20" s="1" customFormat="1">
      <c r="A11" s="26">
        <v>7</v>
      </c>
      <c r="B11" s="29" t="s">
        <v>65</v>
      </c>
      <c r="C11" s="485" t="s">
        <v>343</v>
      </c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237"/>
    </row>
  </sheetData>
  <mergeCells count="2">
    <mergeCell ref="A3:S3"/>
    <mergeCell ref="C11:S1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749992370372631"/>
  </sheetPr>
  <dimension ref="A1:W19"/>
  <sheetViews>
    <sheetView topLeftCell="I4" workbookViewId="0">
      <selection activeCell="T9" sqref="T9"/>
    </sheetView>
  </sheetViews>
  <sheetFormatPr defaultRowHeight="15"/>
  <cols>
    <col min="2" max="2" width="18.85546875" customWidth="1"/>
    <col min="3" max="3" width="10.140625" customWidth="1"/>
    <col min="4" max="4" width="17.85546875" customWidth="1"/>
    <col min="5" max="5" width="14.140625" customWidth="1"/>
    <col min="6" max="6" width="18.140625" customWidth="1"/>
    <col min="7" max="7" width="11" customWidth="1"/>
    <col min="8" max="8" width="11.28515625" customWidth="1"/>
    <col min="9" max="9" width="17.140625" customWidth="1"/>
    <col min="10" max="10" width="13" customWidth="1"/>
    <col min="11" max="12" width="13" style="1" customWidth="1"/>
    <col min="13" max="13" width="11.5703125" customWidth="1"/>
    <col min="14" max="14" width="11.28515625" customWidth="1"/>
    <col min="15" max="15" width="10.85546875" customWidth="1"/>
    <col min="16" max="16" width="11.7109375" customWidth="1"/>
    <col min="17" max="17" width="9.5703125" bestFit="1" customWidth="1"/>
    <col min="18" max="18" width="12.85546875" customWidth="1"/>
    <col min="19" max="19" width="14.28515625" customWidth="1"/>
    <col min="20" max="20" width="11.85546875" customWidth="1"/>
    <col min="21" max="21" width="11" customWidth="1"/>
    <col min="22" max="22" width="14.28515625" customWidth="1"/>
    <col min="23" max="23" width="13.140625" customWidth="1"/>
  </cols>
  <sheetData>
    <row r="1" spans="1:23" s="1" customFormat="1" ht="27" customHeight="1">
      <c r="A1" s="334" t="s">
        <v>125</v>
      </c>
      <c r="B1" s="335"/>
      <c r="C1" s="335"/>
      <c r="D1" s="335"/>
      <c r="E1" s="335"/>
      <c r="F1" s="335"/>
      <c r="G1" s="336"/>
      <c r="H1" s="142">
        <v>642000</v>
      </c>
      <c r="I1" s="142">
        <v>286000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</row>
    <row r="2" spans="1:23" s="1" customFormat="1" ht="38.25" customHeight="1">
      <c r="A2" s="347" t="s">
        <v>126</v>
      </c>
      <c r="B2" s="348"/>
      <c r="C2" s="348"/>
      <c r="D2" s="348"/>
      <c r="E2" s="348"/>
      <c r="F2" s="348"/>
      <c r="G2" s="348"/>
      <c r="H2" s="348"/>
      <c r="I2" s="349"/>
      <c r="J2" s="326" t="s">
        <v>102</v>
      </c>
      <c r="K2" s="327"/>
      <c r="L2" s="327"/>
      <c r="M2" s="327"/>
      <c r="N2" s="327"/>
      <c r="O2" s="328"/>
      <c r="P2" s="329" t="s">
        <v>103</v>
      </c>
      <c r="Q2" s="329"/>
      <c r="R2" s="343" t="s">
        <v>104</v>
      </c>
      <c r="S2" s="343"/>
      <c r="T2" s="343"/>
      <c r="U2" s="343"/>
    </row>
    <row r="3" spans="1:23" s="1" customFormat="1" ht="106.5" customHeight="1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3" s="1" customFormat="1" ht="34.5">
      <c r="A4" s="38">
        <v>1</v>
      </c>
      <c r="B4" s="23" t="s">
        <v>16</v>
      </c>
      <c r="C4" s="14">
        <v>0</v>
      </c>
      <c r="D4" s="78" t="s">
        <v>75</v>
      </c>
      <c r="E4" s="99">
        <v>0</v>
      </c>
      <c r="F4" s="33">
        <v>0</v>
      </c>
      <c r="G4" s="68">
        <v>34500</v>
      </c>
      <c r="H4" s="68">
        <v>0</v>
      </c>
      <c r="I4" s="2">
        <v>0</v>
      </c>
      <c r="J4" s="351" t="s">
        <v>127</v>
      </c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3"/>
    </row>
    <row r="5" spans="1:23" s="1" customFormat="1" ht="54.75" customHeight="1">
      <c r="A5" s="38">
        <v>2</v>
      </c>
      <c r="B5" s="23" t="s">
        <v>17</v>
      </c>
      <c r="C5" s="19">
        <v>0.72770000000000001</v>
      </c>
      <c r="D5" s="78" t="s">
        <v>98</v>
      </c>
      <c r="E5" s="99">
        <v>34800</v>
      </c>
      <c r="F5" s="95">
        <f>E5*C5</f>
        <v>25323.96</v>
      </c>
      <c r="G5" s="2"/>
      <c r="H5" s="2">
        <f>I5/C5</f>
        <v>13599.999999999998</v>
      </c>
      <c r="I5" s="139">
        <v>9896.7199999999993</v>
      </c>
      <c r="J5" s="47">
        <v>14300</v>
      </c>
      <c r="K5" s="47"/>
      <c r="L5" s="47"/>
      <c r="M5" s="47"/>
      <c r="N5" s="47">
        <v>19100</v>
      </c>
      <c r="O5" s="47">
        <f>J5/N5</f>
        <v>0.74869109947643975</v>
      </c>
      <c r="P5" s="47"/>
      <c r="Q5" s="47"/>
      <c r="R5" s="2"/>
      <c r="S5" s="47"/>
      <c r="T5" s="2"/>
      <c r="U5" s="47"/>
      <c r="V5" s="354" t="s">
        <v>129</v>
      </c>
      <c r="W5" s="346" t="s">
        <v>310</v>
      </c>
    </row>
    <row r="6" spans="1:23" s="1" customFormat="1" ht="34.5">
      <c r="A6" s="38">
        <v>3</v>
      </c>
      <c r="B6" s="23" t="s">
        <v>18</v>
      </c>
      <c r="C6" s="19">
        <v>1.2404999999999999</v>
      </c>
      <c r="D6" s="78" t="s">
        <v>98</v>
      </c>
      <c r="E6" s="99">
        <v>95100</v>
      </c>
      <c r="F6" s="95">
        <f t="shared" ref="F6:F9" si="0">E6*C6</f>
        <v>117971.54999999999</v>
      </c>
      <c r="G6" s="2"/>
      <c r="H6" s="2">
        <f t="shared" ref="H6:H7" si="1">I6/C6</f>
        <v>41500</v>
      </c>
      <c r="I6" s="139">
        <v>51480.75</v>
      </c>
      <c r="J6" s="47">
        <v>67343</v>
      </c>
      <c r="K6" s="47"/>
      <c r="L6" s="47"/>
      <c r="M6" s="47"/>
      <c r="N6" s="47">
        <v>53900</v>
      </c>
      <c r="O6" s="47">
        <f>J6/N6</f>
        <v>1.2494063079777364</v>
      </c>
      <c r="P6" s="47"/>
      <c r="Q6" s="47"/>
      <c r="R6" s="2"/>
      <c r="S6" s="47"/>
      <c r="T6" s="2"/>
      <c r="U6" s="47"/>
      <c r="V6" s="354"/>
      <c r="W6" s="346"/>
    </row>
    <row r="7" spans="1:23" s="1" customFormat="1" ht="34.5">
      <c r="A7" s="38">
        <v>4</v>
      </c>
      <c r="B7" s="23" t="s">
        <v>19</v>
      </c>
      <c r="C7" s="19">
        <v>2.0716000000000001</v>
      </c>
      <c r="D7" s="78" t="s">
        <v>98</v>
      </c>
      <c r="E7" s="99">
        <v>22500</v>
      </c>
      <c r="F7" s="95">
        <f t="shared" si="0"/>
        <v>46611</v>
      </c>
      <c r="G7" s="2"/>
      <c r="H7" s="2">
        <f t="shared" si="1"/>
        <v>13199.999999999998</v>
      </c>
      <c r="I7" s="139">
        <v>27345.119999999999</v>
      </c>
      <c r="J7" s="47">
        <v>40091</v>
      </c>
      <c r="K7" s="47"/>
      <c r="L7" s="153"/>
      <c r="M7" s="47"/>
      <c r="N7" s="47">
        <v>19100</v>
      </c>
      <c r="O7" s="47">
        <f>J7/N7</f>
        <v>2.0990052356020943</v>
      </c>
      <c r="P7" s="47"/>
      <c r="Q7" s="47"/>
      <c r="R7" s="2"/>
      <c r="S7" s="47"/>
      <c r="T7" s="2"/>
      <c r="U7" s="47"/>
      <c r="V7" s="354"/>
      <c r="W7" s="346"/>
    </row>
    <row r="8" spans="1:23" s="1" customFormat="1" ht="23.25">
      <c r="A8" s="38">
        <v>5</v>
      </c>
      <c r="B8" s="23" t="s">
        <v>20</v>
      </c>
      <c r="C8" s="19">
        <v>2.9466999999999999</v>
      </c>
      <c r="D8" s="78" t="s">
        <v>74</v>
      </c>
      <c r="E8" s="99">
        <v>6000</v>
      </c>
      <c r="F8" s="95">
        <f t="shared" si="0"/>
        <v>17680.2</v>
      </c>
      <c r="G8" s="2"/>
      <c r="H8" s="2">
        <v>0</v>
      </c>
      <c r="I8" s="2">
        <v>0</v>
      </c>
      <c r="J8" s="351" t="s">
        <v>128</v>
      </c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3"/>
    </row>
    <row r="9" spans="1:23" s="1" customFormat="1" ht="47.25" customHeight="1">
      <c r="A9" s="38">
        <v>6</v>
      </c>
      <c r="B9" s="23" t="s">
        <v>76</v>
      </c>
      <c r="C9" s="81">
        <v>0.59713899999999998</v>
      </c>
      <c r="D9" s="78" t="s">
        <v>77</v>
      </c>
      <c r="E9" s="99">
        <v>720000</v>
      </c>
      <c r="F9" s="95">
        <f t="shared" si="0"/>
        <v>429940.07999999996</v>
      </c>
      <c r="G9" s="110">
        <v>720000</v>
      </c>
      <c r="H9" s="137">
        <v>0.52705400000000002</v>
      </c>
      <c r="I9" s="63">
        <f>H9*G9</f>
        <v>379478.88</v>
      </c>
      <c r="J9" s="52">
        <v>379479</v>
      </c>
      <c r="K9" s="47" t="s">
        <v>130</v>
      </c>
      <c r="L9" s="153" t="s">
        <v>131</v>
      </c>
      <c r="M9" s="47">
        <v>242997.84</v>
      </c>
      <c r="N9" s="52">
        <v>720000</v>
      </c>
      <c r="O9" s="53">
        <v>0.33749699999999999</v>
      </c>
      <c r="P9" s="52"/>
      <c r="Q9" s="52">
        <f>J9-M9</f>
        <v>136481.16</v>
      </c>
      <c r="R9" s="52">
        <v>510207</v>
      </c>
      <c r="S9" s="52">
        <f>R9*O9</f>
        <v>172193.331879</v>
      </c>
      <c r="T9" s="52">
        <f>N9-R9</f>
        <v>209793</v>
      </c>
      <c r="U9" s="52">
        <f>T9*O9</f>
        <v>70804.508120999992</v>
      </c>
    </row>
    <row r="10" spans="1:23" s="1" customFormat="1">
      <c r="A10" s="30"/>
      <c r="B10" s="9"/>
      <c r="C10" s="6"/>
      <c r="D10" s="6"/>
      <c r="E10" s="104"/>
      <c r="F10" s="114">
        <f>SUM(F5:F9)</f>
        <v>637526.78999999992</v>
      </c>
      <c r="G10" s="60"/>
      <c r="H10" s="60"/>
      <c r="I10" s="60"/>
      <c r="J10" s="49">
        <f>J5+J6+J7+J9</f>
        <v>501213</v>
      </c>
      <c r="K10" s="49"/>
      <c r="L10" s="49"/>
      <c r="M10" s="49">
        <f>M5+M6+M7+M9</f>
        <v>242997.84</v>
      </c>
      <c r="N10" s="49"/>
      <c r="O10" s="49"/>
      <c r="P10" s="49"/>
      <c r="Q10" s="49"/>
      <c r="R10" s="49"/>
      <c r="S10" s="49"/>
      <c r="T10" s="49"/>
      <c r="U10" s="49"/>
    </row>
    <row r="11" spans="1:23" s="1" customFormat="1">
      <c r="A11" s="174"/>
      <c r="B11" s="175"/>
      <c r="C11" s="176"/>
      <c r="D11" s="176"/>
      <c r="E11" s="177"/>
      <c r="F11" s="178"/>
      <c r="G11" s="171"/>
      <c r="H11" s="171"/>
      <c r="I11" s="172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3" s="1" customFormat="1" ht="37.5" customHeight="1">
      <c r="A12" s="347" t="s">
        <v>134</v>
      </c>
      <c r="B12" s="348"/>
      <c r="C12" s="348"/>
      <c r="D12" s="348"/>
      <c r="E12" s="348"/>
      <c r="F12" s="348"/>
      <c r="G12" s="348"/>
      <c r="H12" s="348"/>
      <c r="I12" s="349"/>
      <c r="J12" s="326" t="s">
        <v>102</v>
      </c>
      <c r="K12" s="327"/>
      <c r="L12" s="327"/>
      <c r="M12" s="327"/>
      <c r="N12" s="327"/>
      <c r="O12" s="328"/>
      <c r="P12" s="329" t="s">
        <v>103</v>
      </c>
      <c r="Q12" s="329"/>
      <c r="R12" s="343" t="s">
        <v>104</v>
      </c>
      <c r="S12" s="343"/>
      <c r="T12" s="343"/>
      <c r="U12" s="343"/>
    </row>
    <row r="13" spans="1:23" s="1" customFormat="1" ht="55.5" customHeight="1">
      <c r="A13" s="15" t="s">
        <v>0</v>
      </c>
      <c r="B13" s="16" t="s">
        <v>21</v>
      </c>
      <c r="C13" s="5" t="s">
        <v>52</v>
      </c>
      <c r="D13" s="5" t="s">
        <v>73</v>
      </c>
      <c r="E13" s="98" t="s">
        <v>90</v>
      </c>
      <c r="F13" s="90" t="s">
        <v>93</v>
      </c>
      <c r="G13" s="62" t="s">
        <v>89</v>
      </c>
      <c r="H13" s="62" t="s">
        <v>97</v>
      </c>
      <c r="I13" s="62" t="s">
        <v>94</v>
      </c>
      <c r="J13" s="143" t="s">
        <v>109</v>
      </c>
      <c r="K13" s="143" t="s">
        <v>107</v>
      </c>
      <c r="L13" s="143" t="s">
        <v>100</v>
      </c>
      <c r="M13" s="143" t="s">
        <v>46</v>
      </c>
      <c r="N13" s="145" t="s">
        <v>47</v>
      </c>
      <c r="O13" s="143" t="s">
        <v>101</v>
      </c>
      <c r="P13" s="42" t="s">
        <v>53</v>
      </c>
      <c r="Q13" s="42" t="s">
        <v>48</v>
      </c>
      <c r="R13" s="43" t="s">
        <v>49</v>
      </c>
      <c r="S13" s="44" t="s">
        <v>50</v>
      </c>
      <c r="T13" s="43" t="s">
        <v>51</v>
      </c>
      <c r="U13" s="44" t="s">
        <v>50</v>
      </c>
    </row>
    <row r="14" spans="1:23" s="1" customFormat="1" ht="45.75">
      <c r="A14" s="38">
        <v>1</v>
      </c>
      <c r="B14" s="23" t="s">
        <v>22</v>
      </c>
      <c r="C14" s="87">
        <v>1.7000000000000001E-2</v>
      </c>
      <c r="D14" s="78" t="s">
        <v>75</v>
      </c>
      <c r="E14" s="99">
        <v>42000</v>
      </c>
      <c r="F14" s="33">
        <f>E14*C14</f>
        <v>714</v>
      </c>
      <c r="G14" s="68">
        <v>42000</v>
      </c>
      <c r="H14" s="68"/>
      <c r="I14" s="2"/>
      <c r="J14" s="324">
        <v>5032.17</v>
      </c>
      <c r="K14" s="324" t="s">
        <v>132</v>
      </c>
      <c r="L14" s="324" t="s">
        <v>133</v>
      </c>
      <c r="M14" s="324">
        <v>4408.3999999999996</v>
      </c>
      <c r="N14" s="47">
        <v>42000</v>
      </c>
      <c r="O14" s="55">
        <v>1.2999999999999999E-2</v>
      </c>
      <c r="P14" s="324">
        <v>0</v>
      </c>
      <c r="Q14" s="324">
        <f>J14-M14</f>
        <v>623.77000000000044</v>
      </c>
      <c r="R14" s="47">
        <v>42000</v>
      </c>
      <c r="S14" s="47">
        <f>R14*O14</f>
        <v>546</v>
      </c>
      <c r="T14" s="47"/>
      <c r="U14" s="47"/>
    </row>
    <row r="15" spans="1:23" s="1" customFormat="1" ht="34.5">
      <c r="A15" s="38">
        <v>2</v>
      </c>
      <c r="B15" s="23" t="s">
        <v>23</v>
      </c>
      <c r="C15" s="31">
        <v>5.7000000000000002E-2</v>
      </c>
      <c r="D15" s="78" t="s">
        <v>75</v>
      </c>
      <c r="E15" s="99">
        <v>54400</v>
      </c>
      <c r="F15" s="33">
        <f>E15*C15</f>
        <v>3100.8</v>
      </c>
      <c r="G15" s="68">
        <v>54400</v>
      </c>
      <c r="H15" s="68"/>
      <c r="I15" s="2"/>
      <c r="J15" s="325"/>
      <c r="K15" s="325"/>
      <c r="L15" s="325"/>
      <c r="M15" s="325"/>
      <c r="N15" s="47">
        <v>54400</v>
      </c>
      <c r="O15" s="72">
        <v>7.0999999999999994E-2</v>
      </c>
      <c r="P15" s="325"/>
      <c r="Q15" s="325"/>
      <c r="R15" s="47">
        <v>54400</v>
      </c>
      <c r="S15" s="47">
        <f>R15*O15</f>
        <v>3862.3999999999996</v>
      </c>
      <c r="T15" s="47"/>
      <c r="U15" s="47"/>
    </row>
    <row r="16" spans="1:23">
      <c r="F16" s="89">
        <f>SUM(F14:F15)</f>
        <v>3814.8</v>
      </c>
      <c r="S16" s="89">
        <f>SUM(S14:S15)</f>
        <v>4408.3999999999996</v>
      </c>
    </row>
    <row r="19" spans="9:19">
      <c r="I19" s="350" t="s">
        <v>157</v>
      </c>
      <c r="J19" s="350"/>
      <c r="K19" s="350"/>
      <c r="L19" s="350"/>
      <c r="M19" s="350"/>
      <c r="N19" s="350"/>
      <c r="O19" s="350"/>
      <c r="P19" s="350"/>
      <c r="Q19" s="350"/>
      <c r="R19" s="350"/>
      <c r="S19" s="350"/>
    </row>
  </sheetData>
  <mergeCells count="20">
    <mergeCell ref="A12:I12"/>
    <mergeCell ref="I19:S19"/>
    <mergeCell ref="J4:U4"/>
    <mergeCell ref="J8:U8"/>
    <mergeCell ref="V5:V7"/>
    <mergeCell ref="J14:J15"/>
    <mergeCell ref="K14:K15"/>
    <mergeCell ref="L14:L15"/>
    <mergeCell ref="M14:M15"/>
    <mergeCell ref="P14:P15"/>
    <mergeCell ref="Q14:Q15"/>
    <mergeCell ref="J12:O12"/>
    <mergeCell ref="P12:Q12"/>
    <mergeCell ref="R12:U12"/>
    <mergeCell ref="W5:W7"/>
    <mergeCell ref="A1:G1"/>
    <mergeCell ref="J2:O2"/>
    <mergeCell ref="P2:Q2"/>
    <mergeCell ref="R2:U2"/>
    <mergeCell ref="A2:I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U61"/>
  <sheetViews>
    <sheetView topLeftCell="F7" workbookViewId="0">
      <selection activeCell="O13" sqref="O13"/>
    </sheetView>
  </sheetViews>
  <sheetFormatPr defaultRowHeight="15"/>
  <cols>
    <col min="2" max="2" width="16.28515625" customWidth="1"/>
    <col min="4" max="4" width="17.42578125" customWidth="1"/>
    <col min="6" max="6" width="14.140625" customWidth="1"/>
    <col min="7" max="7" width="14.42578125" customWidth="1"/>
    <col min="8" max="8" width="14.140625" customWidth="1"/>
    <col min="9" max="9" width="13.7109375" customWidth="1"/>
    <col min="10" max="10" width="13.140625" customWidth="1"/>
    <col min="11" max="11" width="15.5703125" customWidth="1"/>
    <col min="12" max="12" width="14.7109375" style="1" customWidth="1"/>
    <col min="13" max="13" width="12.28515625" style="1" customWidth="1"/>
    <col min="14" max="14" width="9.5703125" bestFit="1" customWidth="1"/>
    <col min="17" max="18" width="9.5703125" bestFit="1" customWidth="1"/>
    <col min="19" max="19" width="10.42578125" customWidth="1"/>
    <col min="20" max="20" width="9.5703125" bestFit="1" customWidth="1"/>
  </cols>
  <sheetData>
    <row r="1" spans="1:21" s="1" customFormat="1" ht="29.25" customHeight="1">
      <c r="A1" s="369" t="s">
        <v>158</v>
      </c>
      <c r="B1" s="370"/>
      <c r="C1" s="370"/>
      <c r="D1" s="370"/>
      <c r="E1" s="370"/>
      <c r="F1" s="370"/>
      <c r="G1" s="371"/>
      <c r="H1" s="179">
        <v>18806000</v>
      </c>
      <c r="I1" s="179">
        <v>36000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</row>
    <row r="2" spans="1:21" s="1" customFormat="1" ht="30" customHeight="1">
      <c r="A2" s="322" t="s">
        <v>159</v>
      </c>
      <c r="B2" s="323"/>
      <c r="C2" s="323"/>
      <c r="D2" s="323"/>
      <c r="E2" s="323"/>
      <c r="F2" s="323"/>
      <c r="G2" s="344"/>
      <c r="H2" s="345">
        <v>847000</v>
      </c>
      <c r="I2" s="345"/>
      <c r="J2" s="326" t="s">
        <v>102</v>
      </c>
      <c r="K2" s="327"/>
      <c r="L2" s="327"/>
      <c r="M2" s="327"/>
      <c r="N2" s="327"/>
      <c r="O2" s="328"/>
      <c r="P2" s="329" t="s">
        <v>103</v>
      </c>
      <c r="Q2" s="329"/>
      <c r="R2" s="343" t="s">
        <v>104</v>
      </c>
      <c r="S2" s="343"/>
      <c r="T2" s="343"/>
      <c r="U2" s="343"/>
    </row>
    <row r="3" spans="1:21" s="1" customFormat="1" ht="123.7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39.75" customHeight="1">
      <c r="A4" s="372">
        <v>1</v>
      </c>
      <c r="B4" s="376" t="s">
        <v>85</v>
      </c>
      <c r="C4" s="376">
        <v>4.0662000000000003</v>
      </c>
      <c r="D4" s="378" t="s">
        <v>88</v>
      </c>
      <c r="E4" s="380">
        <v>30000</v>
      </c>
      <c r="F4" s="382">
        <v>41160</v>
      </c>
      <c r="G4" s="367">
        <v>32500</v>
      </c>
      <c r="H4" s="367"/>
      <c r="I4" s="374">
        <v>44590</v>
      </c>
      <c r="J4" s="52">
        <v>85820</v>
      </c>
      <c r="K4" s="47" t="s">
        <v>161</v>
      </c>
      <c r="L4" s="47" t="s">
        <v>162</v>
      </c>
      <c r="M4" s="47">
        <v>40992</v>
      </c>
      <c r="N4" s="2">
        <v>12000</v>
      </c>
      <c r="O4" s="75">
        <v>1.952</v>
      </c>
      <c r="P4" s="47"/>
      <c r="Q4" s="47">
        <f>J4-M4</f>
        <v>44828</v>
      </c>
      <c r="R4" s="47">
        <v>12000</v>
      </c>
      <c r="S4" s="47">
        <f>R4*O4</f>
        <v>23424</v>
      </c>
      <c r="T4" s="2"/>
      <c r="U4" s="197"/>
    </row>
    <row r="5" spans="1:21" s="1" customFormat="1" ht="31.5" customHeight="1">
      <c r="A5" s="373"/>
      <c r="B5" s="377"/>
      <c r="C5" s="377"/>
      <c r="D5" s="379"/>
      <c r="E5" s="381"/>
      <c r="F5" s="383"/>
      <c r="G5" s="368"/>
      <c r="H5" s="368"/>
      <c r="I5" s="375"/>
      <c r="J5" s="52">
        <v>73677</v>
      </c>
      <c r="K5" s="47" t="s">
        <v>163</v>
      </c>
      <c r="L5" s="47" t="s">
        <v>164</v>
      </c>
      <c r="M5" s="47">
        <v>73672</v>
      </c>
      <c r="N5" s="2">
        <v>20500</v>
      </c>
      <c r="O5" s="75">
        <v>1.984</v>
      </c>
      <c r="P5" s="47"/>
      <c r="Q5" s="47"/>
      <c r="R5" s="47">
        <v>20500</v>
      </c>
      <c r="S5" s="47">
        <f t="shared" ref="S5:S15" si="0">R5*O5</f>
        <v>40672</v>
      </c>
      <c r="T5" s="2"/>
      <c r="U5" s="197"/>
    </row>
    <row r="6" spans="1:21" s="1" customFormat="1" ht="27" customHeight="1">
      <c r="A6" s="372">
        <v>2</v>
      </c>
      <c r="B6" s="376" t="s">
        <v>86</v>
      </c>
      <c r="C6" s="376">
        <v>0</v>
      </c>
      <c r="D6" s="378" t="s">
        <v>88</v>
      </c>
      <c r="E6" s="380">
        <v>23000</v>
      </c>
      <c r="F6" s="382">
        <v>11776</v>
      </c>
      <c r="G6" s="367">
        <v>48000</v>
      </c>
      <c r="H6" s="367"/>
      <c r="I6" s="374">
        <v>24576</v>
      </c>
      <c r="J6" s="52">
        <v>85820</v>
      </c>
      <c r="K6" s="47" t="s">
        <v>161</v>
      </c>
      <c r="L6" s="47" t="s">
        <v>162</v>
      </c>
      <c r="M6" s="47">
        <v>40992</v>
      </c>
      <c r="N6" s="2">
        <v>12000</v>
      </c>
      <c r="O6" s="75">
        <v>0.48799999999999999</v>
      </c>
      <c r="P6" s="47"/>
      <c r="Q6" s="47"/>
      <c r="R6" s="47">
        <v>12000</v>
      </c>
      <c r="S6" s="47">
        <f t="shared" si="0"/>
        <v>5856</v>
      </c>
      <c r="T6" s="2"/>
      <c r="U6" s="197"/>
    </row>
    <row r="7" spans="1:21" s="1" customFormat="1" ht="22.5" customHeight="1">
      <c r="A7" s="373"/>
      <c r="B7" s="377"/>
      <c r="C7" s="377"/>
      <c r="D7" s="379"/>
      <c r="E7" s="381"/>
      <c r="F7" s="383"/>
      <c r="G7" s="368"/>
      <c r="H7" s="368"/>
      <c r="I7" s="375"/>
      <c r="J7" s="52">
        <v>73677</v>
      </c>
      <c r="K7" s="47" t="s">
        <v>163</v>
      </c>
      <c r="L7" s="47" t="s">
        <v>164</v>
      </c>
      <c r="M7" s="47">
        <v>73672</v>
      </c>
      <c r="N7" s="2">
        <v>66000</v>
      </c>
      <c r="O7" s="47">
        <v>0.5</v>
      </c>
      <c r="P7" s="47"/>
      <c r="Q7" s="47">
        <v>5</v>
      </c>
      <c r="R7" s="47">
        <v>66000</v>
      </c>
      <c r="S7" s="47">
        <f t="shared" si="0"/>
        <v>33000</v>
      </c>
      <c r="T7" s="2"/>
      <c r="U7" s="197"/>
    </row>
    <row r="8" spans="1:21" s="1" customFormat="1" ht="48" customHeight="1">
      <c r="A8" s="198">
        <v>3</v>
      </c>
      <c r="B8" s="184" t="s">
        <v>87</v>
      </c>
      <c r="C8" s="184">
        <v>2.0413000000000001</v>
      </c>
      <c r="D8" s="180" t="s">
        <v>88</v>
      </c>
      <c r="E8" s="181">
        <v>30000</v>
      </c>
      <c r="F8" s="199">
        <v>23970</v>
      </c>
      <c r="G8" s="182">
        <v>27000</v>
      </c>
      <c r="H8" s="182"/>
      <c r="I8" s="183">
        <v>21573</v>
      </c>
      <c r="J8" s="52">
        <v>85820</v>
      </c>
      <c r="K8" s="47" t="s">
        <v>161</v>
      </c>
      <c r="L8" s="47" t="s">
        <v>162</v>
      </c>
      <c r="M8" s="47">
        <v>40992</v>
      </c>
      <c r="N8" s="2">
        <v>12000</v>
      </c>
      <c r="O8" s="75">
        <v>0.97599999999999998</v>
      </c>
      <c r="P8" s="47"/>
      <c r="Q8" s="47"/>
      <c r="R8" s="47">
        <v>12000</v>
      </c>
      <c r="S8" s="47">
        <f t="shared" si="0"/>
        <v>11712</v>
      </c>
      <c r="T8" s="2"/>
      <c r="U8" s="197"/>
    </row>
    <row r="9" spans="1:21" s="1" customFormat="1" ht="48.75" customHeight="1">
      <c r="A9" s="15">
        <v>4</v>
      </c>
      <c r="B9" s="22" t="s">
        <v>56</v>
      </c>
      <c r="C9" s="51">
        <v>0.58620799999999995</v>
      </c>
      <c r="D9" s="78" t="s">
        <v>75</v>
      </c>
      <c r="E9" s="99">
        <v>300000</v>
      </c>
      <c r="F9" s="33">
        <f t="shared" ref="F9:F13" si="1">E9*C9</f>
        <v>175862.39999999999</v>
      </c>
      <c r="G9" s="68">
        <v>300000</v>
      </c>
      <c r="H9" s="68"/>
      <c r="I9" s="2">
        <v>254700</v>
      </c>
      <c r="J9" s="47">
        <v>199500</v>
      </c>
      <c r="K9" s="47" t="s">
        <v>165</v>
      </c>
      <c r="L9" s="153" t="s">
        <v>166</v>
      </c>
      <c r="M9" s="47">
        <v>40620</v>
      </c>
      <c r="N9" s="47">
        <v>300000</v>
      </c>
      <c r="O9" s="55">
        <v>0.13539999999999999</v>
      </c>
      <c r="P9" s="47"/>
      <c r="Q9" s="47">
        <v>103048</v>
      </c>
      <c r="R9" s="47">
        <v>300000</v>
      </c>
      <c r="S9" s="47">
        <f t="shared" si="0"/>
        <v>40620</v>
      </c>
      <c r="T9" s="47"/>
      <c r="U9" s="47"/>
    </row>
    <row r="10" spans="1:21" s="1" customFormat="1" ht="45.75">
      <c r="A10" s="15">
        <v>5</v>
      </c>
      <c r="B10" s="23" t="s">
        <v>62</v>
      </c>
      <c r="C10" s="47">
        <v>0.44</v>
      </c>
      <c r="D10" s="78" t="s">
        <v>77</v>
      </c>
      <c r="E10" s="99">
        <v>88500</v>
      </c>
      <c r="F10" s="33">
        <f t="shared" si="1"/>
        <v>38940</v>
      </c>
      <c r="G10" s="68">
        <v>88500</v>
      </c>
      <c r="H10" s="68"/>
      <c r="I10" s="2">
        <v>20520</v>
      </c>
      <c r="J10" s="150">
        <v>252963</v>
      </c>
      <c r="K10" s="47" t="s">
        <v>168</v>
      </c>
      <c r="L10" s="146" t="s">
        <v>169</v>
      </c>
      <c r="M10" s="151">
        <v>249775.5</v>
      </c>
      <c r="N10" s="47">
        <v>88500</v>
      </c>
      <c r="O10" s="75">
        <v>0.40300000000000002</v>
      </c>
      <c r="P10" s="149"/>
      <c r="Q10" s="150">
        <v>3187.5</v>
      </c>
      <c r="R10" s="47">
        <v>88500</v>
      </c>
      <c r="S10" s="47">
        <f t="shared" si="0"/>
        <v>35665.5</v>
      </c>
      <c r="T10" s="47"/>
      <c r="U10" s="47"/>
    </row>
    <row r="11" spans="1:21" s="1" customFormat="1" ht="45.75" customHeight="1">
      <c r="A11" s="372">
        <v>6</v>
      </c>
      <c r="B11" s="376" t="s">
        <v>63</v>
      </c>
      <c r="C11" s="324">
        <v>0.94</v>
      </c>
      <c r="D11" s="390" t="s">
        <v>77</v>
      </c>
      <c r="E11" s="392">
        <v>300000</v>
      </c>
      <c r="F11" s="384">
        <f t="shared" si="1"/>
        <v>282000</v>
      </c>
      <c r="G11" s="387">
        <v>300000</v>
      </c>
      <c r="H11" s="387"/>
      <c r="I11" s="403">
        <v>337610</v>
      </c>
      <c r="J11" s="150">
        <v>23760</v>
      </c>
      <c r="K11" s="47" t="s">
        <v>58</v>
      </c>
      <c r="L11" s="146" t="s">
        <v>167</v>
      </c>
      <c r="M11" s="151">
        <v>23760</v>
      </c>
      <c r="N11" s="47">
        <v>30000</v>
      </c>
      <c r="O11" s="75">
        <v>0.79200000000000004</v>
      </c>
      <c r="P11" s="149"/>
      <c r="Q11" s="150"/>
      <c r="R11" s="47">
        <v>30000</v>
      </c>
      <c r="S11" s="47">
        <f t="shared" si="0"/>
        <v>23760</v>
      </c>
      <c r="T11" s="47"/>
      <c r="U11" s="47"/>
    </row>
    <row r="12" spans="1:21" s="1" customFormat="1" ht="22.5">
      <c r="A12" s="373"/>
      <c r="B12" s="377"/>
      <c r="C12" s="325"/>
      <c r="D12" s="391"/>
      <c r="E12" s="393"/>
      <c r="F12" s="386"/>
      <c r="G12" s="389"/>
      <c r="H12" s="389"/>
      <c r="I12" s="405"/>
      <c r="J12" s="150">
        <v>252963</v>
      </c>
      <c r="K12" s="47" t="s">
        <v>168</v>
      </c>
      <c r="L12" s="146" t="s">
        <v>169</v>
      </c>
      <c r="M12" s="151">
        <v>249775.5</v>
      </c>
      <c r="N12" s="47">
        <v>270000</v>
      </c>
      <c r="O12" s="75">
        <v>0.79300000000000004</v>
      </c>
      <c r="P12" s="149"/>
      <c r="Q12" s="150"/>
      <c r="R12" s="47">
        <v>210000</v>
      </c>
      <c r="S12" s="47">
        <f t="shared" si="0"/>
        <v>166530</v>
      </c>
      <c r="T12" s="47">
        <v>60000</v>
      </c>
      <c r="U12" s="47">
        <f>T12*O12</f>
        <v>47580</v>
      </c>
    </row>
    <row r="13" spans="1:21" s="1" customFormat="1" ht="45.75" customHeight="1">
      <c r="A13" s="372">
        <v>7</v>
      </c>
      <c r="B13" s="395" t="s">
        <v>42</v>
      </c>
      <c r="C13" s="398">
        <v>2.9695999999999998</v>
      </c>
      <c r="D13" s="390" t="s">
        <v>77</v>
      </c>
      <c r="E13" s="392">
        <v>32000</v>
      </c>
      <c r="F13" s="384">
        <f t="shared" si="1"/>
        <v>95027.199999999997</v>
      </c>
      <c r="G13" s="387">
        <v>32000</v>
      </c>
      <c r="H13" s="387"/>
      <c r="I13" s="403">
        <f>G13*C13</f>
        <v>95027.199999999997</v>
      </c>
      <c r="J13" s="47">
        <v>9480</v>
      </c>
      <c r="K13" s="47" t="s">
        <v>58</v>
      </c>
      <c r="L13" s="47" t="s">
        <v>170</v>
      </c>
      <c r="M13" s="47">
        <v>9480</v>
      </c>
      <c r="N13" s="47">
        <v>3000</v>
      </c>
      <c r="O13" s="47">
        <v>3.16</v>
      </c>
      <c r="P13" s="47"/>
      <c r="Q13" s="47"/>
      <c r="R13" s="47">
        <v>3000</v>
      </c>
      <c r="S13" s="47">
        <f t="shared" si="0"/>
        <v>9480</v>
      </c>
      <c r="T13" s="47"/>
      <c r="U13" s="47"/>
    </row>
    <row r="14" spans="1:21" s="1" customFormat="1" ht="23.25">
      <c r="A14" s="394"/>
      <c r="B14" s="396"/>
      <c r="C14" s="399"/>
      <c r="D14" s="401"/>
      <c r="E14" s="402"/>
      <c r="F14" s="385"/>
      <c r="G14" s="388"/>
      <c r="H14" s="388"/>
      <c r="I14" s="404"/>
      <c r="J14" s="47">
        <v>41184</v>
      </c>
      <c r="K14" s="47" t="s">
        <v>171</v>
      </c>
      <c r="L14" s="153" t="s">
        <v>172</v>
      </c>
      <c r="M14" s="47">
        <v>41183.47</v>
      </c>
      <c r="N14" s="47">
        <v>13080</v>
      </c>
      <c r="O14" s="186">
        <v>3.1484999999999999</v>
      </c>
      <c r="P14" s="47"/>
      <c r="Q14" s="47">
        <v>0.53</v>
      </c>
      <c r="R14" s="47">
        <v>13080</v>
      </c>
      <c r="S14" s="47">
        <f t="shared" si="0"/>
        <v>41182.379999999997</v>
      </c>
      <c r="T14" s="47"/>
      <c r="U14" s="47"/>
    </row>
    <row r="15" spans="1:21" s="1" customFormat="1" ht="23.25">
      <c r="A15" s="373"/>
      <c r="B15" s="397"/>
      <c r="C15" s="400"/>
      <c r="D15" s="391"/>
      <c r="E15" s="393"/>
      <c r="F15" s="386"/>
      <c r="G15" s="389"/>
      <c r="H15" s="389"/>
      <c r="I15" s="405"/>
      <c r="J15" s="47">
        <v>47578</v>
      </c>
      <c r="K15" s="47" t="s">
        <v>173</v>
      </c>
      <c r="L15" s="193" t="s">
        <v>174</v>
      </c>
      <c r="M15" s="47">
        <v>47576.7</v>
      </c>
      <c r="N15" s="47">
        <v>16080</v>
      </c>
      <c r="O15" s="187">
        <v>2.9587500000000002</v>
      </c>
      <c r="P15" s="47"/>
      <c r="Q15" s="47">
        <f>J15-M15</f>
        <v>1.3000000000029104</v>
      </c>
      <c r="R15" s="47">
        <v>16080</v>
      </c>
      <c r="S15" s="47">
        <f t="shared" si="0"/>
        <v>47576.700000000004</v>
      </c>
      <c r="T15" s="47"/>
      <c r="U15" s="47"/>
    </row>
    <row r="16" spans="1:21" s="1" customFormat="1">
      <c r="A16" s="15"/>
      <c r="B16" s="58"/>
      <c r="C16" s="4"/>
      <c r="D16" s="4"/>
      <c r="E16" s="108"/>
      <c r="F16" s="126">
        <f>SUM(F4:F13)</f>
        <v>668735.6</v>
      </c>
      <c r="G16" s="2"/>
      <c r="H16" s="2"/>
      <c r="I16" s="73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9" spans="1:21" ht="43.5" customHeight="1">
      <c r="A19" s="322" t="s">
        <v>160</v>
      </c>
      <c r="B19" s="323"/>
      <c r="C19" s="323"/>
      <c r="D19" s="323"/>
      <c r="E19" s="323"/>
      <c r="F19" s="323"/>
      <c r="G19" s="344"/>
      <c r="H19" s="345">
        <v>17923000</v>
      </c>
      <c r="I19" s="345"/>
      <c r="J19" s="326" t="s">
        <v>102</v>
      </c>
      <c r="K19" s="327"/>
      <c r="L19" s="327"/>
      <c r="M19" s="327"/>
      <c r="N19" s="327"/>
      <c r="O19" s="328"/>
      <c r="P19" s="329" t="s">
        <v>103</v>
      </c>
      <c r="Q19" s="329"/>
      <c r="R19" s="343" t="s">
        <v>104</v>
      </c>
      <c r="S19" s="343"/>
      <c r="T19" s="343"/>
      <c r="U19" s="343"/>
    </row>
    <row r="20" spans="1:21" ht="123.75">
      <c r="A20" s="15" t="s">
        <v>0</v>
      </c>
      <c r="B20" s="16" t="s">
        <v>1</v>
      </c>
      <c r="C20" s="5" t="s">
        <v>52</v>
      </c>
      <c r="D20" s="5" t="s">
        <v>73</v>
      </c>
      <c r="E20" s="98" t="s">
        <v>90</v>
      </c>
      <c r="F20" s="90" t="s">
        <v>93</v>
      </c>
      <c r="G20" s="62" t="s">
        <v>89</v>
      </c>
      <c r="H20" s="62" t="s">
        <v>97</v>
      </c>
      <c r="I20" s="62" t="s">
        <v>94</v>
      </c>
      <c r="J20" s="143" t="s">
        <v>109</v>
      </c>
      <c r="K20" s="143" t="s">
        <v>107</v>
      </c>
      <c r="L20" s="143" t="s">
        <v>100</v>
      </c>
      <c r="M20" s="143" t="s">
        <v>46</v>
      </c>
      <c r="N20" s="145" t="s">
        <v>47</v>
      </c>
      <c r="O20" s="143" t="s">
        <v>101</v>
      </c>
      <c r="P20" s="42" t="s">
        <v>53</v>
      </c>
      <c r="Q20" s="42" t="s">
        <v>48</v>
      </c>
      <c r="R20" s="43" t="s">
        <v>49</v>
      </c>
      <c r="S20" s="44" t="s">
        <v>50</v>
      </c>
      <c r="T20" s="43" t="s">
        <v>51</v>
      </c>
      <c r="U20" s="44" t="s">
        <v>50</v>
      </c>
    </row>
    <row r="21" spans="1:21" ht="34.5">
      <c r="A21" s="65">
        <v>1</v>
      </c>
      <c r="B21" s="200" t="s">
        <v>175</v>
      </c>
      <c r="C21" s="65">
        <v>4.5990000000000002</v>
      </c>
      <c r="D21" s="195" t="s">
        <v>187</v>
      </c>
      <c r="E21" s="65">
        <v>273000</v>
      </c>
      <c r="F21" s="65">
        <f>E21*C21</f>
        <v>1255527</v>
      </c>
      <c r="G21" s="65">
        <v>273000</v>
      </c>
      <c r="H21" s="65"/>
      <c r="I21" s="65"/>
      <c r="J21" s="65">
        <v>1320774</v>
      </c>
      <c r="K21" s="65" t="s">
        <v>176</v>
      </c>
      <c r="L21" s="200" t="s">
        <v>186</v>
      </c>
      <c r="M21" s="65">
        <v>1278431.7</v>
      </c>
      <c r="N21" s="65">
        <v>273000</v>
      </c>
      <c r="O21" s="65">
        <v>4.6829000000000001</v>
      </c>
      <c r="P21" s="65"/>
      <c r="Q21" s="65">
        <f>J21-M21</f>
        <v>42342.300000000047</v>
      </c>
      <c r="R21" s="65">
        <v>222522</v>
      </c>
      <c r="S21" s="65">
        <f>R21*O21</f>
        <v>1042048.2738</v>
      </c>
      <c r="T21" s="65">
        <f>N21-R21</f>
        <v>50478</v>
      </c>
      <c r="U21" s="65">
        <f>T21*O21</f>
        <v>236383.42620000002</v>
      </c>
    </row>
    <row r="22" spans="1:21" ht="23.25">
      <c r="A22" s="65">
        <v>2</v>
      </c>
      <c r="B22" s="200" t="s">
        <v>177</v>
      </c>
      <c r="C22" s="65">
        <v>16.329999999999998</v>
      </c>
      <c r="D22" s="195" t="s">
        <v>187</v>
      </c>
      <c r="E22" s="65">
        <v>22750</v>
      </c>
      <c r="F22" s="65">
        <f t="shared" ref="F22:F24" si="2">E22*C22</f>
        <v>371507.49999999994</v>
      </c>
      <c r="G22" s="65">
        <v>22750</v>
      </c>
      <c r="H22" s="65"/>
      <c r="I22" s="65"/>
      <c r="J22" s="65">
        <v>455683</v>
      </c>
      <c r="K22" s="65" t="s">
        <v>178</v>
      </c>
      <c r="L22" s="200" t="s">
        <v>185</v>
      </c>
      <c r="M22" s="65">
        <v>431340</v>
      </c>
      <c r="N22" s="65">
        <v>22750</v>
      </c>
      <c r="O22" s="65">
        <v>18.96</v>
      </c>
      <c r="P22" s="65"/>
      <c r="Q22" s="65">
        <f>J22-M22</f>
        <v>24343</v>
      </c>
      <c r="R22" s="65">
        <v>16375</v>
      </c>
      <c r="S22" s="65">
        <f t="shared" ref="S22:S61" si="3">R22*O22</f>
        <v>310470</v>
      </c>
      <c r="T22" s="65">
        <f t="shared" ref="T22:T61" si="4">N22-R22</f>
        <v>6375</v>
      </c>
      <c r="U22" s="65">
        <f t="shared" ref="U22:U61" si="5">T22*O22</f>
        <v>120870</v>
      </c>
    </row>
    <row r="23" spans="1:21" ht="30" customHeight="1">
      <c r="A23" s="65">
        <v>3</v>
      </c>
      <c r="B23" s="200" t="s">
        <v>179</v>
      </c>
      <c r="C23" s="65">
        <v>4.2</v>
      </c>
      <c r="D23" s="195" t="s">
        <v>187</v>
      </c>
      <c r="E23" s="65">
        <v>118230</v>
      </c>
      <c r="F23" s="65">
        <f t="shared" si="2"/>
        <v>496566</v>
      </c>
      <c r="G23" s="65">
        <v>118230</v>
      </c>
      <c r="H23" s="65"/>
      <c r="I23" s="65"/>
      <c r="J23" s="65">
        <v>495667</v>
      </c>
      <c r="K23" s="65" t="s">
        <v>180</v>
      </c>
      <c r="L23" s="200" t="s">
        <v>184</v>
      </c>
      <c r="M23" s="65">
        <v>359419.2</v>
      </c>
      <c r="N23" s="65">
        <v>118230</v>
      </c>
      <c r="O23" s="65">
        <v>3.04</v>
      </c>
      <c r="P23" s="65"/>
      <c r="Q23" s="65">
        <f>J23-M23</f>
        <v>136247.79999999999</v>
      </c>
      <c r="R23" s="65">
        <v>80240</v>
      </c>
      <c r="S23" s="65">
        <f t="shared" si="3"/>
        <v>243929.60000000001</v>
      </c>
      <c r="T23" s="65">
        <f t="shared" si="4"/>
        <v>37990</v>
      </c>
      <c r="U23" s="65">
        <f t="shared" si="5"/>
        <v>115489.60000000001</v>
      </c>
    </row>
    <row r="24" spans="1:21" ht="34.5">
      <c r="A24" s="65">
        <v>4</v>
      </c>
      <c r="B24" s="200" t="s">
        <v>181</v>
      </c>
      <c r="C24" s="65">
        <v>4.93</v>
      </c>
      <c r="D24" s="195" t="s">
        <v>187</v>
      </c>
      <c r="E24" s="65">
        <v>75424</v>
      </c>
      <c r="F24" s="65">
        <f t="shared" si="2"/>
        <v>371840.32</v>
      </c>
      <c r="G24" s="65">
        <v>75424</v>
      </c>
      <c r="H24" s="65"/>
      <c r="I24" s="65"/>
      <c r="J24" s="65">
        <v>441063</v>
      </c>
      <c r="K24" s="65" t="s">
        <v>182</v>
      </c>
      <c r="L24" s="200" t="s">
        <v>183</v>
      </c>
      <c r="M24" s="65">
        <v>418603.2</v>
      </c>
      <c r="N24" s="65">
        <v>75424</v>
      </c>
      <c r="O24" s="65">
        <v>5.55</v>
      </c>
      <c r="P24" s="65"/>
      <c r="Q24" s="65">
        <v>22459.8</v>
      </c>
      <c r="R24" s="65">
        <v>50835</v>
      </c>
      <c r="S24" s="65">
        <f t="shared" si="3"/>
        <v>282134.25</v>
      </c>
      <c r="T24" s="65">
        <f t="shared" si="4"/>
        <v>24589</v>
      </c>
      <c r="U24" s="65">
        <f t="shared" si="5"/>
        <v>136468.94999999998</v>
      </c>
    </row>
    <row r="25" spans="1:21" ht="49.5" customHeight="1">
      <c r="A25" s="216">
        <v>5</v>
      </c>
      <c r="B25" s="200" t="s">
        <v>245</v>
      </c>
      <c r="C25" s="200">
        <v>23.16</v>
      </c>
      <c r="D25" s="65" t="s">
        <v>287</v>
      </c>
      <c r="E25" s="65">
        <v>48</v>
      </c>
      <c r="F25" s="65">
        <f>E25*C25</f>
        <v>1111.68</v>
      </c>
      <c r="G25" s="45"/>
      <c r="H25" s="45"/>
      <c r="I25" s="45"/>
      <c r="J25" s="355">
        <v>12072312</v>
      </c>
      <c r="K25" s="358" t="s">
        <v>284</v>
      </c>
      <c r="L25" s="361" t="s">
        <v>283</v>
      </c>
      <c r="M25" s="355">
        <v>4621593.5</v>
      </c>
      <c r="N25" s="65">
        <v>48</v>
      </c>
      <c r="O25" s="65">
        <v>19.79</v>
      </c>
      <c r="P25" s="364"/>
      <c r="Q25" s="355">
        <v>48312</v>
      </c>
      <c r="R25" s="65">
        <v>40</v>
      </c>
      <c r="S25" s="65">
        <f t="shared" si="3"/>
        <v>791.59999999999991</v>
      </c>
      <c r="T25" s="65">
        <f t="shared" si="4"/>
        <v>8</v>
      </c>
      <c r="U25" s="65">
        <f t="shared" si="5"/>
        <v>158.32</v>
      </c>
    </row>
    <row r="26" spans="1:21" ht="42" customHeight="1">
      <c r="A26" s="216">
        <v>6</v>
      </c>
      <c r="B26" s="200" t="s">
        <v>246</v>
      </c>
      <c r="C26" s="200">
        <v>16.29</v>
      </c>
      <c r="D26" s="65" t="s">
        <v>287</v>
      </c>
      <c r="E26" s="65">
        <v>48</v>
      </c>
      <c r="F26" s="65">
        <f t="shared" ref="F26:F61" si="6">E26*C26</f>
        <v>781.92</v>
      </c>
      <c r="G26" s="45"/>
      <c r="H26" s="45"/>
      <c r="I26" s="45"/>
      <c r="J26" s="356"/>
      <c r="K26" s="359"/>
      <c r="L26" s="362"/>
      <c r="M26" s="356"/>
      <c r="N26" s="65">
        <v>48</v>
      </c>
      <c r="O26" s="65">
        <v>14.89</v>
      </c>
      <c r="P26" s="365"/>
      <c r="Q26" s="356"/>
      <c r="R26" s="65">
        <v>40</v>
      </c>
      <c r="S26" s="65">
        <f t="shared" si="3"/>
        <v>595.6</v>
      </c>
      <c r="T26" s="65">
        <f t="shared" si="4"/>
        <v>8</v>
      </c>
      <c r="U26" s="65">
        <f t="shared" si="5"/>
        <v>119.12</v>
      </c>
    </row>
    <row r="27" spans="1:21" ht="48.75" customHeight="1">
      <c r="A27" s="65">
        <v>7</v>
      </c>
      <c r="B27" s="200" t="s">
        <v>252</v>
      </c>
      <c r="C27" s="216">
        <v>7.54</v>
      </c>
      <c r="D27" s="65" t="s">
        <v>287</v>
      </c>
      <c r="E27" s="65">
        <v>100</v>
      </c>
      <c r="F27" s="65">
        <f t="shared" si="6"/>
        <v>754</v>
      </c>
      <c r="G27" s="45"/>
      <c r="H27" s="45"/>
      <c r="I27" s="45"/>
      <c r="J27" s="356"/>
      <c r="K27" s="359"/>
      <c r="L27" s="362"/>
      <c r="M27" s="356"/>
      <c r="N27" s="65">
        <v>100</v>
      </c>
      <c r="O27" s="65">
        <v>5.88</v>
      </c>
      <c r="P27" s="365"/>
      <c r="Q27" s="356"/>
      <c r="R27" s="65">
        <v>100</v>
      </c>
      <c r="S27" s="65">
        <f t="shared" si="3"/>
        <v>588</v>
      </c>
      <c r="T27" s="65">
        <f t="shared" si="4"/>
        <v>0</v>
      </c>
      <c r="U27" s="65">
        <f t="shared" si="5"/>
        <v>0</v>
      </c>
    </row>
    <row r="28" spans="1:21" ht="45.75">
      <c r="A28" s="65">
        <v>8</v>
      </c>
      <c r="B28" s="200" t="s">
        <v>253</v>
      </c>
      <c r="C28" s="65">
        <v>5.96</v>
      </c>
      <c r="D28" s="65" t="s">
        <v>287</v>
      </c>
      <c r="E28" s="65">
        <v>1200</v>
      </c>
      <c r="F28" s="65">
        <f t="shared" si="6"/>
        <v>7152</v>
      </c>
      <c r="G28" s="45"/>
      <c r="H28" s="45"/>
      <c r="I28" s="45"/>
      <c r="J28" s="356"/>
      <c r="K28" s="359"/>
      <c r="L28" s="362"/>
      <c r="M28" s="356"/>
      <c r="N28" s="65">
        <v>1200</v>
      </c>
      <c r="O28" s="65">
        <v>5.95</v>
      </c>
      <c r="P28" s="365"/>
      <c r="Q28" s="356"/>
      <c r="R28" s="65">
        <v>460</v>
      </c>
      <c r="S28" s="65">
        <f t="shared" si="3"/>
        <v>2737</v>
      </c>
      <c r="T28" s="65">
        <f t="shared" si="4"/>
        <v>740</v>
      </c>
      <c r="U28" s="65">
        <f t="shared" si="5"/>
        <v>4403</v>
      </c>
    </row>
    <row r="29" spans="1:21" ht="45.75">
      <c r="A29" s="65">
        <v>9</v>
      </c>
      <c r="B29" s="200" t="s">
        <v>254</v>
      </c>
      <c r="C29" s="65">
        <v>5.97</v>
      </c>
      <c r="D29" s="65" t="s">
        <v>287</v>
      </c>
      <c r="E29" s="65">
        <v>2500</v>
      </c>
      <c r="F29" s="65">
        <f t="shared" si="6"/>
        <v>14925</v>
      </c>
      <c r="G29" s="45"/>
      <c r="H29" s="45"/>
      <c r="I29" s="45"/>
      <c r="J29" s="356"/>
      <c r="K29" s="359"/>
      <c r="L29" s="362"/>
      <c r="M29" s="356"/>
      <c r="N29" s="65">
        <v>2500</v>
      </c>
      <c r="O29" s="65">
        <v>5.97</v>
      </c>
      <c r="P29" s="365"/>
      <c r="Q29" s="356"/>
      <c r="R29" s="65">
        <v>1340</v>
      </c>
      <c r="S29" s="65">
        <f t="shared" si="3"/>
        <v>7999.7999999999993</v>
      </c>
      <c r="T29" s="65">
        <f t="shared" si="4"/>
        <v>1160</v>
      </c>
      <c r="U29" s="65">
        <f t="shared" si="5"/>
        <v>6925.2</v>
      </c>
    </row>
    <row r="30" spans="1:21" ht="45.75">
      <c r="A30" s="65">
        <v>10</v>
      </c>
      <c r="B30" s="200" t="s">
        <v>255</v>
      </c>
      <c r="C30" s="65">
        <v>5.98</v>
      </c>
      <c r="D30" s="65" t="s">
        <v>287</v>
      </c>
      <c r="E30" s="65">
        <v>20000</v>
      </c>
      <c r="F30" s="65">
        <f t="shared" si="6"/>
        <v>119600.00000000001</v>
      </c>
      <c r="G30" s="45"/>
      <c r="H30" s="45"/>
      <c r="I30" s="45"/>
      <c r="J30" s="356"/>
      <c r="K30" s="359"/>
      <c r="L30" s="362"/>
      <c r="M30" s="356"/>
      <c r="N30" s="65">
        <v>20000</v>
      </c>
      <c r="O30" s="65">
        <v>5.98</v>
      </c>
      <c r="P30" s="365"/>
      <c r="Q30" s="356"/>
      <c r="R30" s="65">
        <v>11187</v>
      </c>
      <c r="S30" s="65">
        <f t="shared" si="3"/>
        <v>66898.260000000009</v>
      </c>
      <c r="T30" s="65">
        <f t="shared" si="4"/>
        <v>8813</v>
      </c>
      <c r="U30" s="65">
        <f t="shared" si="5"/>
        <v>52701.740000000005</v>
      </c>
    </row>
    <row r="31" spans="1:21" ht="45.75">
      <c r="A31" s="216">
        <v>11</v>
      </c>
      <c r="B31" s="200" t="s">
        <v>256</v>
      </c>
      <c r="C31" s="65">
        <v>6.27</v>
      </c>
      <c r="D31" s="65" t="s">
        <v>287</v>
      </c>
      <c r="E31" s="65">
        <v>106100</v>
      </c>
      <c r="F31" s="65">
        <f t="shared" si="6"/>
        <v>665247</v>
      </c>
      <c r="G31" s="45"/>
      <c r="H31" s="45"/>
      <c r="I31" s="45"/>
      <c r="J31" s="356"/>
      <c r="K31" s="359"/>
      <c r="L31" s="362"/>
      <c r="M31" s="356"/>
      <c r="N31" s="65">
        <v>106100</v>
      </c>
      <c r="O31" s="65">
        <v>6.15</v>
      </c>
      <c r="P31" s="365"/>
      <c r="Q31" s="356"/>
      <c r="R31" s="65">
        <v>54575</v>
      </c>
      <c r="S31" s="65">
        <f t="shared" si="3"/>
        <v>335636.25</v>
      </c>
      <c r="T31" s="65">
        <f t="shared" si="4"/>
        <v>51525</v>
      </c>
      <c r="U31" s="65">
        <f t="shared" si="5"/>
        <v>316878.75</v>
      </c>
    </row>
    <row r="32" spans="1:21" ht="45.75">
      <c r="A32" s="216">
        <v>12</v>
      </c>
      <c r="B32" s="200" t="s">
        <v>257</v>
      </c>
      <c r="C32" s="65">
        <v>6.41</v>
      </c>
      <c r="D32" s="65" t="s">
        <v>287</v>
      </c>
      <c r="E32" s="65">
        <v>19806</v>
      </c>
      <c r="F32" s="65">
        <f t="shared" si="6"/>
        <v>126956.46</v>
      </c>
      <c r="G32" s="45"/>
      <c r="H32" s="45"/>
      <c r="I32" s="45"/>
      <c r="J32" s="356"/>
      <c r="K32" s="359"/>
      <c r="L32" s="362"/>
      <c r="M32" s="356"/>
      <c r="N32" s="65">
        <v>19806</v>
      </c>
      <c r="O32" s="65">
        <v>6.41</v>
      </c>
      <c r="P32" s="365"/>
      <c r="Q32" s="356"/>
      <c r="R32" s="65">
        <v>14479</v>
      </c>
      <c r="S32" s="65">
        <f t="shared" si="3"/>
        <v>92810.39</v>
      </c>
      <c r="T32" s="65">
        <f t="shared" si="4"/>
        <v>5327</v>
      </c>
      <c r="U32" s="65">
        <f t="shared" si="5"/>
        <v>34146.07</v>
      </c>
    </row>
    <row r="33" spans="1:21">
      <c r="A33" s="65">
        <v>13</v>
      </c>
      <c r="B33" s="200" t="s">
        <v>247</v>
      </c>
      <c r="C33" s="65">
        <v>7.02</v>
      </c>
      <c r="D33" s="65" t="s">
        <v>287</v>
      </c>
      <c r="E33" s="65">
        <v>138312</v>
      </c>
      <c r="F33" s="65">
        <f t="shared" si="6"/>
        <v>970950.24</v>
      </c>
      <c r="G33" s="45"/>
      <c r="H33" s="45"/>
      <c r="I33" s="45"/>
      <c r="J33" s="356"/>
      <c r="K33" s="359"/>
      <c r="L33" s="362"/>
      <c r="M33" s="356"/>
      <c r="N33" s="65">
        <v>138312</v>
      </c>
      <c r="O33" s="65">
        <v>6.94</v>
      </c>
      <c r="P33" s="365"/>
      <c r="Q33" s="356"/>
      <c r="R33" s="65">
        <v>113307</v>
      </c>
      <c r="S33" s="65">
        <f t="shared" si="3"/>
        <v>786350.58000000007</v>
      </c>
      <c r="T33" s="65">
        <f t="shared" si="4"/>
        <v>25005</v>
      </c>
      <c r="U33" s="65">
        <f t="shared" si="5"/>
        <v>173534.7</v>
      </c>
    </row>
    <row r="34" spans="1:21" ht="45.75">
      <c r="A34" s="65">
        <v>14</v>
      </c>
      <c r="B34" s="200" t="s">
        <v>258</v>
      </c>
      <c r="C34" s="65">
        <v>8.31</v>
      </c>
      <c r="D34" s="65" t="s">
        <v>287</v>
      </c>
      <c r="E34" s="65">
        <v>6000</v>
      </c>
      <c r="F34" s="65">
        <f t="shared" si="6"/>
        <v>49860</v>
      </c>
      <c r="G34" s="45"/>
      <c r="H34" s="45"/>
      <c r="I34" s="45"/>
      <c r="J34" s="356"/>
      <c r="K34" s="359"/>
      <c r="L34" s="362"/>
      <c r="M34" s="356"/>
      <c r="N34" s="65">
        <v>6000</v>
      </c>
      <c r="O34" s="65">
        <v>8.2799999999999994</v>
      </c>
      <c r="P34" s="365"/>
      <c r="Q34" s="356"/>
      <c r="R34" s="65">
        <v>5629</v>
      </c>
      <c r="S34" s="65">
        <f t="shared" si="3"/>
        <v>46608.119999999995</v>
      </c>
      <c r="T34" s="65">
        <f t="shared" si="4"/>
        <v>371</v>
      </c>
      <c r="U34" s="65">
        <f t="shared" si="5"/>
        <v>3071.8799999999997</v>
      </c>
    </row>
    <row r="35" spans="1:21" ht="45.75">
      <c r="A35" s="65">
        <v>15</v>
      </c>
      <c r="B35" s="200" t="s">
        <v>259</v>
      </c>
      <c r="C35" s="65">
        <v>8.61</v>
      </c>
      <c r="D35" s="65" t="s">
        <v>287</v>
      </c>
      <c r="E35" s="65">
        <v>54000</v>
      </c>
      <c r="F35" s="65">
        <f t="shared" si="6"/>
        <v>464939.99999999994</v>
      </c>
      <c r="G35" s="45"/>
      <c r="H35" s="45"/>
      <c r="I35" s="45"/>
      <c r="J35" s="356"/>
      <c r="K35" s="359"/>
      <c r="L35" s="362"/>
      <c r="M35" s="356"/>
      <c r="N35" s="65">
        <v>54000</v>
      </c>
      <c r="O35" s="65">
        <v>8.4469999999999992</v>
      </c>
      <c r="P35" s="365"/>
      <c r="Q35" s="356"/>
      <c r="R35" s="65">
        <v>52657</v>
      </c>
      <c r="S35" s="65">
        <f t="shared" si="3"/>
        <v>444793.67899999995</v>
      </c>
      <c r="T35" s="65">
        <f t="shared" si="4"/>
        <v>1343</v>
      </c>
      <c r="U35" s="65">
        <f t="shared" si="5"/>
        <v>11344.320999999998</v>
      </c>
    </row>
    <row r="36" spans="1:21" ht="57">
      <c r="A36" s="65">
        <v>16</v>
      </c>
      <c r="B36" s="200" t="s">
        <v>248</v>
      </c>
      <c r="C36" s="65">
        <v>3.06</v>
      </c>
      <c r="D36" s="65" t="s">
        <v>287</v>
      </c>
      <c r="E36" s="65">
        <v>348114</v>
      </c>
      <c r="F36" s="65">
        <f t="shared" si="6"/>
        <v>1065228.8400000001</v>
      </c>
      <c r="G36" s="45"/>
      <c r="H36" s="45"/>
      <c r="I36" s="45"/>
      <c r="J36" s="356"/>
      <c r="K36" s="359"/>
      <c r="L36" s="362"/>
      <c r="M36" s="356"/>
      <c r="N36" s="65">
        <v>348114</v>
      </c>
      <c r="O36" s="65">
        <v>3</v>
      </c>
      <c r="P36" s="365"/>
      <c r="Q36" s="356"/>
      <c r="R36" s="65">
        <v>253234</v>
      </c>
      <c r="S36" s="65">
        <f t="shared" si="3"/>
        <v>759702</v>
      </c>
      <c r="T36" s="65">
        <f t="shared" si="4"/>
        <v>94880</v>
      </c>
      <c r="U36" s="65">
        <f t="shared" si="5"/>
        <v>284640</v>
      </c>
    </row>
    <row r="37" spans="1:21" ht="34.5">
      <c r="A37" s="216">
        <v>17</v>
      </c>
      <c r="B37" s="200" t="s">
        <v>249</v>
      </c>
      <c r="C37" s="65">
        <v>0.56999999999999995</v>
      </c>
      <c r="D37" s="65" t="s">
        <v>287</v>
      </c>
      <c r="E37" s="65">
        <v>348114</v>
      </c>
      <c r="F37" s="65">
        <f t="shared" si="6"/>
        <v>198424.97999999998</v>
      </c>
      <c r="G37" s="45"/>
      <c r="H37" s="45"/>
      <c r="I37" s="45"/>
      <c r="J37" s="356"/>
      <c r="K37" s="359"/>
      <c r="L37" s="362"/>
      <c r="M37" s="356"/>
      <c r="N37" s="65">
        <v>348114</v>
      </c>
      <c r="O37" s="65">
        <v>0.55000000000000004</v>
      </c>
      <c r="P37" s="365"/>
      <c r="Q37" s="356"/>
      <c r="R37" s="65">
        <v>223382</v>
      </c>
      <c r="S37" s="65">
        <f t="shared" si="3"/>
        <v>122860.1</v>
      </c>
      <c r="T37" s="65">
        <f t="shared" si="4"/>
        <v>124732</v>
      </c>
      <c r="U37" s="65">
        <f t="shared" si="5"/>
        <v>68602.600000000006</v>
      </c>
    </row>
    <row r="38" spans="1:21" ht="23.25">
      <c r="A38" s="216">
        <v>18</v>
      </c>
      <c r="B38" s="200" t="s">
        <v>260</v>
      </c>
      <c r="C38" s="65">
        <v>0.31</v>
      </c>
      <c r="D38" s="65" t="s">
        <v>287</v>
      </c>
      <c r="E38" s="65">
        <v>260000</v>
      </c>
      <c r="F38" s="65">
        <f t="shared" si="6"/>
        <v>80600</v>
      </c>
      <c r="G38" s="45"/>
      <c r="H38" s="45"/>
      <c r="I38" s="45"/>
      <c r="J38" s="356"/>
      <c r="K38" s="359"/>
      <c r="L38" s="362"/>
      <c r="M38" s="356"/>
      <c r="N38" s="65">
        <v>260000</v>
      </c>
      <c r="O38" s="65">
        <v>0.3</v>
      </c>
      <c r="P38" s="365"/>
      <c r="Q38" s="356"/>
      <c r="R38" s="65">
        <v>185000</v>
      </c>
      <c r="S38" s="65">
        <f t="shared" si="3"/>
        <v>55500</v>
      </c>
      <c r="T38" s="65">
        <f t="shared" si="4"/>
        <v>75000</v>
      </c>
      <c r="U38" s="65">
        <f t="shared" si="5"/>
        <v>22500</v>
      </c>
    </row>
    <row r="39" spans="1:21" ht="23.25">
      <c r="A39" s="65">
        <v>19</v>
      </c>
      <c r="B39" s="200" t="s">
        <v>261</v>
      </c>
      <c r="C39" s="65">
        <v>0.31</v>
      </c>
      <c r="D39" s="65" t="s">
        <v>287</v>
      </c>
      <c r="E39" s="65">
        <v>950000</v>
      </c>
      <c r="F39" s="65">
        <f t="shared" si="6"/>
        <v>294500</v>
      </c>
      <c r="G39" s="45"/>
      <c r="H39" s="45"/>
      <c r="I39" s="45"/>
      <c r="J39" s="356"/>
      <c r="K39" s="359"/>
      <c r="L39" s="362"/>
      <c r="M39" s="356"/>
      <c r="N39" s="65">
        <v>950000</v>
      </c>
      <c r="O39" s="65">
        <v>0.3</v>
      </c>
      <c r="P39" s="365"/>
      <c r="Q39" s="356"/>
      <c r="R39" s="65">
        <v>738800</v>
      </c>
      <c r="S39" s="65">
        <f t="shared" si="3"/>
        <v>221640</v>
      </c>
      <c r="T39" s="65">
        <f t="shared" si="4"/>
        <v>211200</v>
      </c>
      <c r="U39" s="65">
        <f t="shared" si="5"/>
        <v>63360</v>
      </c>
    </row>
    <row r="40" spans="1:21" ht="34.5">
      <c r="A40" s="65">
        <v>20</v>
      </c>
      <c r="B40" s="200" t="s">
        <v>262</v>
      </c>
      <c r="C40" s="65">
        <v>1.01</v>
      </c>
      <c r="D40" s="65" t="s">
        <v>287</v>
      </c>
      <c r="E40" s="65">
        <v>5222</v>
      </c>
      <c r="F40" s="65">
        <f t="shared" si="6"/>
        <v>5274.22</v>
      </c>
      <c r="G40" s="45"/>
      <c r="H40" s="45"/>
      <c r="I40" s="45"/>
      <c r="J40" s="356"/>
      <c r="K40" s="359"/>
      <c r="L40" s="362"/>
      <c r="M40" s="356"/>
      <c r="N40" s="65">
        <v>5222</v>
      </c>
      <c r="O40" s="65">
        <v>1.03</v>
      </c>
      <c r="P40" s="365"/>
      <c r="Q40" s="356"/>
      <c r="R40" s="65">
        <v>3407</v>
      </c>
      <c r="S40" s="65">
        <f t="shared" si="3"/>
        <v>3509.21</v>
      </c>
      <c r="T40" s="65">
        <f t="shared" si="4"/>
        <v>1815</v>
      </c>
      <c r="U40" s="65">
        <f t="shared" si="5"/>
        <v>1869.45</v>
      </c>
    </row>
    <row r="41" spans="1:21" ht="45.75">
      <c r="A41" s="65">
        <v>21</v>
      </c>
      <c r="B41" s="200" t="s">
        <v>263</v>
      </c>
      <c r="C41" s="65">
        <v>1.61</v>
      </c>
      <c r="D41" s="65" t="s">
        <v>287</v>
      </c>
      <c r="E41" s="65">
        <v>167195</v>
      </c>
      <c r="F41" s="65">
        <f t="shared" si="6"/>
        <v>269183.95</v>
      </c>
      <c r="G41" s="45"/>
      <c r="H41" s="45"/>
      <c r="I41" s="45"/>
      <c r="J41" s="356"/>
      <c r="K41" s="359"/>
      <c r="L41" s="362"/>
      <c r="M41" s="356"/>
      <c r="N41" s="65">
        <v>167195</v>
      </c>
      <c r="O41" s="65">
        <v>1.54</v>
      </c>
      <c r="P41" s="365"/>
      <c r="Q41" s="356"/>
      <c r="R41" s="65">
        <v>105780</v>
      </c>
      <c r="S41" s="65">
        <f t="shared" si="3"/>
        <v>162901.20000000001</v>
      </c>
      <c r="T41" s="65">
        <f t="shared" si="4"/>
        <v>61415</v>
      </c>
      <c r="U41" s="65">
        <f t="shared" si="5"/>
        <v>94579.1</v>
      </c>
    </row>
    <row r="42" spans="1:21" ht="34.5">
      <c r="A42" s="65">
        <v>22</v>
      </c>
      <c r="B42" s="200" t="s">
        <v>264</v>
      </c>
      <c r="C42" s="65">
        <v>1.71</v>
      </c>
      <c r="D42" s="65" t="s">
        <v>287</v>
      </c>
      <c r="E42" s="65">
        <v>170575</v>
      </c>
      <c r="F42" s="65">
        <f t="shared" si="6"/>
        <v>291683.25</v>
      </c>
      <c r="G42" s="45"/>
      <c r="H42" s="45"/>
      <c r="I42" s="45"/>
      <c r="J42" s="356"/>
      <c r="K42" s="359"/>
      <c r="L42" s="362"/>
      <c r="M42" s="356"/>
      <c r="N42" s="65">
        <v>170575</v>
      </c>
      <c r="O42" s="65">
        <v>1.64</v>
      </c>
      <c r="P42" s="365"/>
      <c r="Q42" s="356"/>
      <c r="R42" s="65">
        <v>138380</v>
      </c>
      <c r="S42" s="65">
        <f t="shared" si="3"/>
        <v>226943.19999999998</v>
      </c>
      <c r="T42" s="65">
        <f t="shared" si="4"/>
        <v>32195</v>
      </c>
      <c r="U42" s="65">
        <f t="shared" si="5"/>
        <v>52799.799999999996</v>
      </c>
    </row>
    <row r="43" spans="1:21" ht="45.75">
      <c r="A43" s="217">
        <v>23</v>
      </c>
      <c r="B43" s="200" t="s">
        <v>265</v>
      </c>
      <c r="C43" s="200" t="s">
        <v>286</v>
      </c>
      <c r="D43" s="65" t="s">
        <v>287</v>
      </c>
      <c r="E43" s="65">
        <v>5222</v>
      </c>
      <c r="F43" s="65">
        <v>0</v>
      </c>
      <c r="G43" s="45"/>
      <c r="H43" s="45"/>
      <c r="I43" s="45"/>
      <c r="J43" s="356"/>
      <c r="K43" s="359"/>
      <c r="L43" s="362"/>
      <c r="M43" s="356"/>
      <c r="N43" s="65">
        <v>5222</v>
      </c>
      <c r="O43" s="65">
        <v>3.93</v>
      </c>
      <c r="P43" s="365"/>
      <c r="Q43" s="356"/>
      <c r="R43" s="65">
        <v>2454</v>
      </c>
      <c r="S43" s="65">
        <f t="shared" si="3"/>
        <v>9644.2200000000012</v>
      </c>
      <c r="T43" s="65">
        <f t="shared" si="4"/>
        <v>2768</v>
      </c>
      <c r="U43" s="65">
        <f t="shared" si="5"/>
        <v>10878.24</v>
      </c>
    </row>
    <row r="44" spans="1:21" ht="34.5">
      <c r="A44" s="217">
        <v>24</v>
      </c>
      <c r="B44" s="200" t="s">
        <v>250</v>
      </c>
      <c r="C44" s="65">
        <v>3.93</v>
      </c>
      <c r="D44" s="65" t="s">
        <v>287</v>
      </c>
      <c r="E44" s="65">
        <v>27000</v>
      </c>
      <c r="F44" s="65">
        <f t="shared" si="6"/>
        <v>106110</v>
      </c>
      <c r="G44" s="45"/>
      <c r="H44" s="45"/>
      <c r="I44" s="45"/>
      <c r="J44" s="356"/>
      <c r="K44" s="359"/>
      <c r="L44" s="362"/>
      <c r="M44" s="356"/>
      <c r="N44" s="65">
        <v>27000</v>
      </c>
      <c r="O44" s="65">
        <v>1.52</v>
      </c>
      <c r="P44" s="365"/>
      <c r="Q44" s="356"/>
      <c r="R44" s="65">
        <v>19740</v>
      </c>
      <c r="S44" s="65">
        <f t="shared" si="3"/>
        <v>30004.799999999999</v>
      </c>
      <c r="T44" s="65">
        <f t="shared" si="4"/>
        <v>7260</v>
      </c>
      <c r="U44" s="65">
        <f t="shared" si="5"/>
        <v>11035.2</v>
      </c>
    </row>
    <row r="45" spans="1:21" ht="34.5">
      <c r="A45" s="65">
        <v>25</v>
      </c>
      <c r="B45" s="200" t="s">
        <v>251</v>
      </c>
      <c r="C45" s="65">
        <v>1.57</v>
      </c>
      <c r="D45" s="65" t="s">
        <v>287</v>
      </c>
      <c r="E45" s="65">
        <v>55200</v>
      </c>
      <c r="F45" s="65">
        <f t="shared" si="6"/>
        <v>86664</v>
      </c>
      <c r="G45" s="45"/>
      <c r="H45" s="45"/>
      <c r="I45" s="45"/>
      <c r="J45" s="357"/>
      <c r="K45" s="360"/>
      <c r="L45" s="363"/>
      <c r="M45" s="357"/>
      <c r="N45" s="65">
        <v>55200</v>
      </c>
      <c r="O45" s="65">
        <v>0.53500000000000003</v>
      </c>
      <c r="P45" s="366"/>
      <c r="Q45" s="357"/>
      <c r="R45" s="65">
        <v>38175</v>
      </c>
      <c r="S45" s="65">
        <f t="shared" si="3"/>
        <v>20423.625</v>
      </c>
      <c r="T45" s="65">
        <f t="shared" si="4"/>
        <v>17025</v>
      </c>
      <c r="U45" s="65">
        <f t="shared" si="5"/>
        <v>9108.375</v>
      </c>
    </row>
    <row r="46" spans="1:21" ht="57">
      <c r="A46" s="65">
        <v>26</v>
      </c>
      <c r="B46" s="200" t="s">
        <v>266</v>
      </c>
      <c r="C46" s="65">
        <v>7.7249999999999996</v>
      </c>
      <c r="D46" s="65" t="s">
        <v>287</v>
      </c>
      <c r="E46" s="200">
        <v>28250</v>
      </c>
      <c r="F46" s="65">
        <f t="shared" si="6"/>
        <v>218231.25</v>
      </c>
      <c r="G46" s="45"/>
      <c r="H46" s="45"/>
      <c r="I46" s="45"/>
      <c r="J46" s="355">
        <v>2978596</v>
      </c>
      <c r="K46" s="358" t="s">
        <v>285</v>
      </c>
      <c r="L46" s="361" t="s">
        <v>282</v>
      </c>
      <c r="M46" s="361">
        <v>1242686.8</v>
      </c>
      <c r="N46" s="200">
        <v>28250</v>
      </c>
      <c r="O46" s="200">
        <v>7.8</v>
      </c>
      <c r="P46" s="200"/>
      <c r="Q46" s="200"/>
      <c r="R46" s="200">
        <v>20010</v>
      </c>
      <c r="S46" s="65">
        <f t="shared" si="3"/>
        <v>156078</v>
      </c>
      <c r="T46" s="65">
        <f t="shared" si="4"/>
        <v>8240</v>
      </c>
      <c r="U46" s="65">
        <f t="shared" si="5"/>
        <v>64272</v>
      </c>
    </row>
    <row r="47" spans="1:21" ht="57">
      <c r="A47" s="216">
        <v>27</v>
      </c>
      <c r="B47" s="200" t="s">
        <v>267</v>
      </c>
      <c r="C47" s="65">
        <v>7.7249999999999996</v>
      </c>
      <c r="D47" s="65" t="s">
        <v>287</v>
      </c>
      <c r="E47" s="65">
        <v>41730</v>
      </c>
      <c r="F47" s="65">
        <f t="shared" si="6"/>
        <v>322364.25</v>
      </c>
      <c r="G47" s="45"/>
      <c r="H47" s="45"/>
      <c r="I47" s="45"/>
      <c r="J47" s="356"/>
      <c r="K47" s="359"/>
      <c r="L47" s="362"/>
      <c r="M47" s="362"/>
      <c r="N47" s="65">
        <v>41730</v>
      </c>
      <c r="O47" s="200">
        <v>7.8</v>
      </c>
      <c r="P47" s="45"/>
      <c r="Q47" s="45"/>
      <c r="R47" s="65">
        <v>29725</v>
      </c>
      <c r="S47" s="65">
        <f t="shared" si="3"/>
        <v>231855</v>
      </c>
      <c r="T47" s="65">
        <f t="shared" si="4"/>
        <v>12005</v>
      </c>
      <c r="U47" s="65">
        <f t="shared" si="5"/>
        <v>93639</v>
      </c>
    </row>
    <row r="48" spans="1:21" ht="57">
      <c r="A48" s="216">
        <v>28</v>
      </c>
      <c r="B48" s="200" t="s">
        <v>268</v>
      </c>
      <c r="C48" s="65">
        <v>7.7249999999999996</v>
      </c>
      <c r="D48" s="65" t="s">
        <v>287</v>
      </c>
      <c r="E48" s="65">
        <v>5000</v>
      </c>
      <c r="F48" s="65">
        <f t="shared" si="6"/>
        <v>38625</v>
      </c>
      <c r="G48" s="45"/>
      <c r="H48" s="45"/>
      <c r="I48" s="45"/>
      <c r="J48" s="356"/>
      <c r="K48" s="359"/>
      <c r="L48" s="362"/>
      <c r="M48" s="362"/>
      <c r="N48" s="65">
        <v>5000</v>
      </c>
      <c r="O48" s="200">
        <v>7.8</v>
      </c>
      <c r="P48" s="45"/>
      <c r="Q48" s="45"/>
      <c r="R48" s="65">
        <v>3770</v>
      </c>
      <c r="S48" s="65">
        <f t="shared" si="3"/>
        <v>29406</v>
      </c>
      <c r="T48" s="65">
        <f t="shared" si="4"/>
        <v>1230</v>
      </c>
      <c r="U48" s="65">
        <f t="shared" si="5"/>
        <v>9594</v>
      </c>
    </row>
    <row r="49" spans="1:21" ht="57">
      <c r="A49" s="65">
        <v>29</v>
      </c>
      <c r="B49" s="200" t="s">
        <v>269</v>
      </c>
      <c r="C49" s="65">
        <v>8.375</v>
      </c>
      <c r="D49" s="65" t="s">
        <v>287</v>
      </c>
      <c r="E49" s="65">
        <v>1244</v>
      </c>
      <c r="F49" s="65">
        <f t="shared" si="6"/>
        <v>10418.5</v>
      </c>
      <c r="G49" s="45"/>
      <c r="H49" s="45"/>
      <c r="I49" s="45"/>
      <c r="J49" s="356"/>
      <c r="K49" s="359"/>
      <c r="L49" s="362"/>
      <c r="M49" s="362"/>
      <c r="N49" s="65">
        <v>1244</v>
      </c>
      <c r="O49" s="200">
        <v>8.4</v>
      </c>
      <c r="P49" s="45"/>
      <c r="Q49" s="45"/>
      <c r="R49" s="65">
        <v>844</v>
      </c>
      <c r="S49" s="65">
        <f t="shared" si="3"/>
        <v>7089.6</v>
      </c>
      <c r="T49" s="65">
        <f t="shared" si="4"/>
        <v>400</v>
      </c>
      <c r="U49" s="65">
        <f t="shared" si="5"/>
        <v>3360</v>
      </c>
    </row>
    <row r="50" spans="1:21" ht="57">
      <c r="A50" s="65">
        <v>30</v>
      </c>
      <c r="B50" s="200" t="s">
        <v>270</v>
      </c>
      <c r="C50" s="65">
        <v>8.375</v>
      </c>
      <c r="D50" s="65" t="s">
        <v>287</v>
      </c>
      <c r="E50" s="65">
        <v>7412</v>
      </c>
      <c r="F50" s="65">
        <f t="shared" si="6"/>
        <v>62075.5</v>
      </c>
      <c r="G50" s="45"/>
      <c r="H50" s="45"/>
      <c r="I50" s="45"/>
      <c r="J50" s="356"/>
      <c r="K50" s="359"/>
      <c r="L50" s="362"/>
      <c r="M50" s="362"/>
      <c r="N50" s="65">
        <v>7412</v>
      </c>
      <c r="O50" s="200">
        <v>8.4</v>
      </c>
      <c r="P50" s="45"/>
      <c r="Q50" s="45"/>
      <c r="R50" s="65">
        <v>3632</v>
      </c>
      <c r="S50" s="65">
        <f t="shared" si="3"/>
        <v>30508.800000000003</v>
      </c>
      <c r="T50" s="65">
        <f t="shared" si="4"/>
        <v>3780</v>
      </c>
      <c r="U50" s="65">
        <f t="shared" si="5"/>
        <v>31752</v>
      </c>
    </row>
    <row r="51" spans="1:21" ht="57">
      <c r="A51" s="216">
        <v>31</v>
      </c>
      <c r="B51" s="200" t="s">
        <v>271</v>
      </c>
      <c r="C51" s="65">
        <v>8.375</v>
      </c>
      <c r="D51" s="65" t="s">
        <v>287</v>
      </c>
      <c r="E51" s="65">
        <v>1796</v>
      </c>
      <c r="F51" s="65">
        <f t="shared" si="6"/>
        <v>15041.5</v>
      </c>
      <c r="G51" s="45"/>
      <c r="H51" s="45"/>
      <c r="I51" s="45"/>
      <c r="J51" s="356"/>
      <c r="K51" s="359"/>
      <c r="L51" s="362"/>
      <c r="M51" s="362"/>
      <c r="N51" s="65">
        <v>1796</v>
      </c>
      <c r="O51" s="200">
        <v>8.4</v>
      </c>
      <c r="P51" s="45"/>
      <c r="Q51" s="45"/>
      <c r="R51" s="65">
        <v>1308</v>
      </c>
      <c r="S51" s="65">
        <f t="shared" si="3"/>
        <v>10987.2</v>
      </c>
      <c r="T51" s="65">
        <f t="shared" si="4"/>
        <v>488</v>
      </c>
      <c r="U51" s="65">
        <f t="shared" si="5"/>
        <v>4099.2</v>
      </c>
    </row>
    <row r="52" spans="1:21" ht="57">
      <c r="A52" s="216">
        <v>32</v>
      </c>
      <c r="B52" s="200" t="s">
        <v>272</v>
      </c>
      <c r="C52" s="65">
        <v>9.4749999999999996</v>
      </c>
      <c r="D52" s="65" t="s">
        <v>287</v>
      </c>
      <c r="E52" s="65">
        <v>8070</v>
      </c>
      <c r="F52" s="65">
        <f t="shared" si="6"/>
        <v>76463.25</v>
      </c>
      <c r="G52" s="45"/>
      <c r="H52" s="45"/>
      <c r="I52" s="45"/>
      <c r="J52" s="356"/>
      <c r="K52" s="359"/>
      <c r="L52" s="362"/>
      <c r="M52" s="362"/>
      <c r="N52" s="65">
        <v>8070</v>
      </c>
      <c r="O52" s="200">
        <v>9.5</v>
      </c>
      <c r="P52" s="45"/>
      <c r="Q52" s="45"/>
      <c r="R52" s="65">
        <v>3586</v>
      </c>
      <c r="S52" s="65">
        <f t="shared" si="3"/>
        <v>34067</v>
      </c>
      <c r="T52" s="65">
        <f t="shared" si="4"/>
        <v>4484</v>
      </c>
      <c r="U52" s="65">
        <f t="shared" si="5"/>
        <v>42598</v>
      </c>
    </row>
    <row r="53" spans="1:21" ht="57">
      <c r="A53" s="65">
        <v>33</v>
      </c>
      <c r="B53" s="200" t="s">
        <v>273</v>
      </c>
      <c r="C53" s="65">
        <v>9.4749999999999996</v>
      </c>
      <c r="D53" s="65" t="s">
        <v>287</v>
      </c>
      <c r="E53" s="65">
        <v>12110</v>
      </c>
      <c r="F53" s="65">
        <f t="shared" si="6"/>
        <v>114742.25</v>
      </c>
      <c r="G53" s="45"/>
      <c r="H53" s="45"/>
      <c r="I53" s="45"/>
      <c r="J53" s="356"/>
      <c r="K53" s="359"/>
      <c r="L53" s="362"/>
      <c r="M53" s="362"/>
      <c r="N53" s="65">
        <v>12110</v>
      </c>
      <c r="O53" s="200">
        <v>9.5</v>
      </c>
      <c r="P53" s="45"/>
      <c r="Q53" s="45"/>
      <c r="R53" s="65">
        <v>5506</v>
      </c>
      <c r="S53" s="65">
        <f t="shared" si="3"/>
        <v>52307</v>
      </c>
      <c r="T53" s="65">
        <f t="shared" si="4"/>
        <v>6604</v>
      </c>
      <c r="U53" s="65">
        <f t="shared" si="5"/>
        <v>62738</v>
      </c>
    </row>
    <row r="54" spans="1:21" ht="34.5">
      <c r="A54" s="65">
        <v>34</v>
      </c>
      <c r="B54" s="200" t="s">
        <v>274</v>
      </c>
      <c r="C54" s="65">
        <v>20.9</v>
      </c>
      <c r="D54" s="65" t="s">
        <v>287</v>
      </c>
      <c r="E54" s="65">
        <v>8900</v>
      </c>
      <c r="F54" s="65">
        <f t="shared" si="6"/>
        <v>186010</v>
      </c>
      <c r="G54" s="45"/>
      <c r="H54" s="45"/>
      <c r="I54" s="45"/>
      <c r="J54" s="356"/>
      <c r="K54" s="359"/>
      <c r="L54" s="362"/>
      <c r="M54" s="362"/>
      <c r="N54" s="65">
        <v>8900</v>
      </c>
      <c r="O54" s="200">
        <v>21.1</v>
      </c>
      <c r="P54" s="45"/>
      <c r="Q54" s="45"/>
      <c r="R54" s="65">
        <v>5695</v>
      </c>
      <c r="S54" s="65">
        <f t="shared" si="3"/>
        <v>120164.50000000001</v>
      </c>
      <c r="T54" s="65">
        <f t="shared" si="4"/>
        <v>3205</v>
      </c>
      <c r="U54" s="65">
        <f t="shared" si="5"/>
        <v>67625.5</v>
      </c>
    </row>
    <row r="55" spans="1:21" ht="23.25">
      <c r="A55" s="216">
        <v>35</v>
      </c>
      <c r="B55" s="200" t="s">
        <v>275</v>
      </c>
      <c r="C55" s="65">
        <v>0.375</v>
      </c>
      <c r="D55" s="65" t="s">
        <v>287</v>
      </c>
      <c r="E55" s="65">
        <v>124773</v>
      </c>
      <c r="F55" s="65">
        <f t="shared" si="6"/>
        <v>46789.875</v>
      </c>
      <c r="G55" s="45"/>
      <c r="H55" s="45"/>
      <c r="I55" s="45"/>
      <c r="J55" s="356"/>
      <c r="K55" s="359"/>
      <c r="L55" s="362"/>
      <c r="M55" s="362"/>
      <c r="N55" s="65">
        <v>124773</v>
      </c>
      <c r="O55" s="200">
        <v>0.3</v>
      </c>
      <c r="P55" s="45"/>
      <c r="Q55" s="45"/>
      <c r="R55" s="65">
        <v>73200</v>
      </c>
      <c r="S55" s="65">
        <f t="shared" si="3"/>
        <v>21960</v>
      </c>
      <c r="T55" s="65">
        <f t="shared" si="4"/>
        <v>51573</v>
      </c>
      <c r="U55" s="65">
        <f t="shared" si="5"/>
        <v>15471.9</v>
      </c>
    </row>
    <row r="56" spans="1:21" ht="34.5">
      <c r="A56" s="216">
        <v>36</v>
      </c>
      <c r="B56" s="200" t="s">
        <v>276</v>
      </c>
      <c r="C56" s="65">
        <v>25.3</v>
      </c>
      <c r="D56" s="65" t="s">
        <v>287</v>
      </c>
      <c r="E56" s="65">
        <v>126</v>
      </c>
      <c r="F56" s="65">
        <f t="shared" si="6"/>
        <v>3187.8</v>
      </c>
      <c r="G56" s="45"/>
      <c r="H56" s="45"/>
      <c r="I56" s="45"/>
      <c r="J56" s="356"/>
      <c r="K56" s="359"/>
      <c r="L56" s="362"/>
      <c r="M56" s="362"/>
      <c r="N56" s="65">
        <v>126</v>
      </c>
      <c r="O56" s="200">
        <v>24.6</v>
      </c>
      <c r="P56" s="45"/>
      <c r="Q56" s="45"/>
      <c r="R56" s="65">
        <v>100</v>
      </c>
      <c r="S56" s="65">
        <f t="shared" si="3"/>
        <v>2460</v>
      </c>
      <c r="T56" s="65">
        <f t="shared" si="4"/>
        <v>26</v>
      </c>
      <c r="U56" s="65">
        <f t="shared" si="5"/>
        <v>639.6</v>
      </c>
    </row>
    <row r="57" spans="1:21" ht="57">
      <c r="A57" s="65">
        <v>37</v>
      </c>
      <c r="B57" s="200" t="s">
        <v>277</v>
      </c>
      <c r="C57" s="65">
        <v>219.98</v>
      </c>
      <c r="D57" s="65" t="s">
        <v>287</v>
      </c>
      <c r="E57" s="65">
        <v>15</v>
      </c>
      <c r="F57" s="65">
        <f t="shared" si="6"/>
        <v>3299.7</v>
      </c>
      <c r="G57" s="45"/>
      <c r="H57" s="45"/>
      <c r="I57" s="45"/>
      <c r="J57" s="356"/>
      <c r="K57" s="359"/>
      <c r="L57" s="362"/>
      <c r="M57" s="362"/>
      <c r="N57" s="65">
        <v>15</v>
      </c>
      <c r="O57" s="200">
        <v>220</v>
      </c>
      <c r="P57" s="45"/>
      <c r="Q57" s="45"/>
      <c r="R57" s="65">
        <v>7</v>
      </c>
      <c r="S57" s="65">
        <f t="shared" si="3"/>
        <v>1540</v>
      </c>
      <c r="T57" s="65">
        <f t="shared" si="4"/>
        <v>8</v>
      </c>
      <c r="U57" s="65">
        <f t="shared" si="5"/>
        <v>1760</v>
      </c>
    </row>
    <row r="58" spans="1:21" ht="23.25">
      <c r="A58" s="65">
        <v>38</v>
      </c>
      <c r="B58" s="200" t="s">
        <v>278</v>
      </c>
      <c r="C58" s="65">
        <v>90.2</v>
      </c>
      <c r="D58" s="65" t="s">
        <v>287</v>
      </c>
      <c r="E58" s="65">
        <v>15</v>
      </c>
      <c r="F58" s="65">
        <f t="shared" si="6"/>
        <v>1353</v>
      </c>
      <c r="G58" s="45"/>
      <c r="H58" s="45"/>
      <c r="I58" s="45"/>
      <c r="J58" s="356"/>
      <c r="K58" s="359"/>
      <c r="L58" s="362"/>
      <c r="M58" s="362"/>
      <c r="N58" s="65">
        <v>15</v>
      </c>
      <c r="O58" s="200">
        <v>91.3</v>
      </c>
      <c r="P58" s="45"/>
      <c r="Q58" s="45"/>
      <c r="R58" s="65">
        <v>15</v>
      </c>
      <c r="S58" s="65">
        <f t="shared" si="3"/>
        <v>1369.5</v>
      </c>
      <c r="T58" s="65">
        <f t="shared" si="4"/>
        <v>0</v>
      </c>
      <c r="U58" s="65">
        <f t="shared" si="5"/>
        <v>0</v>
      </c>
    </row>
    <row r="59" spans="1:21" ht="34.5">
      <c r="A59" s="216">
        <v>39</v>
      </c>
      <c r="B59" s="200" t="s">
        <v>279</v>
      </c>
      <c r="C59" s="65">
        <v>1.05</v>
      </c>
      <c r="D59" s="65" t="s">
        <v>287</v>
      </c>
      <c r="E59" s="65">
        <v>200</v>
      </c>
      <c r="F59" s="65">
        <f t="shared" si="6"/>
        <v>210</v>
      </c>
      <c r="G59" s="45"/>
      <c r="H59" s="45"/>
      <c r="I59" s="45"/>
      <c r="J59" s="356"/>
      <c r="K59" s="359"/>
      <c r="L59" s="362"/>
      <c r="M59" s="362"/>
      <c r="N59" s="65">
        <v>200</v>
      </c>
      <c r="O59" s="200">
        <v>1.1000000000000001</v>
      </c>
      <c r="P59" s="45"/>
      <c r="Q59" s="45"/>
      <c r="R59" s="65">
        <v>29</v>
      </c>
      <c r="S59" s="65">
        <f t="shared" si="3"/>
        <v>31.900000000000002</v>
      </c>
      <c r="T59" s="65">
        <f t="shared" si="4"/>
        <v>171</v>
      </c>
      <c r="U59" s="65">
        <f t="shared" si="5"/>
        <v>188.10000000000002</v>
      </c>
    </row>
    <row r="60" spans="1:21" ht="34.5">
      <c r="A60" s="216">
        <v>40</v>
      </c>
      <c r="B60" s="200" t="s">
        <v>280</v>
      </c>
      <c r="C60" s="65">
        <v>4.1749999999999998</v>
      </c>
      <c r="D60" s="65" t="s">
        <v>287</v>
      </c>
      <c r="E60" s="65">
        <v>6750</v>
      </c>
      <c r="F60" s="65">
        <f t="shared" si="6"/>
        <v>28181.25</v>
      </c>
      <c r="G60" s="45"/>
      <c r="H60" s="45"/>
      <c r="I60" s="45"/>
      <c r="J60" s="356"/>
      <c r="K60" s="359"/>
      <c r="L60" s="362"/>
      <c r="M60" s="362"/>
      <c r="N60" s="65">
        <v>6750</v>
      </c>
      <c r="O60" s="200">
        <v>4.2</v>
      </c>
      <c r="P60" s="45"/>
      <c r="Q60" s="45"/>
      <c r="R60" s="65">
        <v>3810</v>
      </c>
      <c r="S60" s="65">
        <f t="shared" si="3"/>
        <v>16002</v>
      </c>
      <c r="T60" s="65">
        <f t="shared" si="4"/>
        <v>2940</v>
      </c>
      <c r="U60" s="65">
        <f t="shared" si="5"/>
        <v>12348</v>
      </c>
    </row>
    <row r="61" spans="1:21">
      <c r="A61" s="65">
        <v>41</v>
      </c>
      <c r="B61" s="200" t="s">
        <v>281</v>
      </c>
      <c r="C61" s="65">
        <v>17.274999999999999</v>
      </c>
      <c r="D61" s="65" t="s">
        <v>287</v>
      </c>
      <c r="E61" s="65">
        <v>6750</v>
      </c>
      <c r="F61" s="65">
        <f t="shared" si="6"/>
        <v>116606.24999999999</v>
      </c>
      <c r="G61" s="45"/>
      <c r="H61" s="45"/>
      <c r="I61" s="45"/>
      <c r="J61" s="357"/>
      <c r="K61" s="360"/>
      <c r="L61" s="363"/>
      <c r="M61" s="363"/>
      <c r="N61" s="65">
        <v>6750</v>
      </c>
      <c r="O61" s="200">
        <v>17.3</v>
      </c>
      <c r="P61" s="45"/>
      <c r="Q61" s="45"/>
      <c r="R61" s="65">
        <v>3810</v>
      </c>
      <c r="S61" s="65">
        <f t="shared" si="3"/>
        <v>65913</v>
      </c>
      <c r="T61" s="65">
        <f t="shared" si="4"/>
        <v>2940</v>
      </c>
      <c r="U61" s="65">
        <f t="shared" si="5"/>
        <v>50862</v>
      </c>
    </row>
  </sheetData>
  <mergeCells count="57">
    <mergeCell ref="H13:H15"/>
    <mergeCell ref="I13:I15"/>
    <mergeCell ref="G11:G12"/>
    <mergeCell ref="H11:H12"/>
    <mergeCell ref="I11:I12"/>
    <mergeCell ref="F13:F15"/>
    <mergeCell ref="G13:G15"/>
    <mergeCell ref="A11:A12"/>
    <mergeCell ref="B11:B12"/>
    <mergeCell ref="C11:C12"/>
    <mergeCell ref="D11:D12"/>
    <mergeCell ref="E11:E12"/>
    <mergeCell ref="F11:F12"/>
    <mergeCell ref="A13:A15"/>
    <mergeCell ref="B13:B15"/>
    <mergeCell ref="C13:C15"/>
    <mergeCell ref="D13:D15"/>
    <mergeCell ref="E13:E15"/>
    <mergeCell ref="I6:I7"/>
    <mergeCell ref="H4:H5"/>
    <mergeCell ref="I4:I5"/>
    <mergeCell ref="A6:A7"/>
    <mergeCell ref="B6:B7"/>
    <mergeCell ref="C6:C7"/>
    <mergeCell ref="D6:D7"/>
    <mergeCell ref="E6:E7"/>
    <mergeCell ref="F6:F7"/>
    <mergeCell ref="G6:G7"/>
    <mergeCell ref="H6:H7"/>
    <mergeCell ref="B4:B5"/>
    <mergeCell ref="C4:C5"/>
    <mergeCell ref="D4:D5"/>
    <mergeCell ref="E4:E5"/>
    <mergeCell ref="F4:F5"/>
    <mergeCell ref="G4:G5"/>
    <mergeCell ref="R2:U2"/>
    <mergeCell ref="A1:G1"/>
    <mergeCell ref="H2:I2"/>
    <mergeCell ref="A2:G2"/>
    <mergeCell ref="A4:A5"/>
    <mergeCell ref="J2:O2"/>
    <mergeCell ref="P2:Q2"/>
    <mergeCell ref="A19:G19"/>
    <mergeCell ref="H19:I19"/>
    <mergeCell ref="J19:O19"/>
    <mergeCell ref="P19:Q19"/>
    <mergeCell ref="R19:U19"/>
    <mergeCell ref="J46:J61"/>
    <mergeCell ref="K46:K61"/>
    <mergeCell ref="L46:L61"/>
    <mergeCell ref="M46:M61"/>
    <mergeCell ref="Q25:Q45"/>
    <mergeCell ref="M25:M45"/>
    <mergeCell ref="L25:L45"/>
    <mergeCell ref="K25:K45"/>
    <mergeCell ref="J25:J45"/>
    <mergeCell ref="P25:P45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55"/>
  <sheetViews>
    <sheetView topLeftCell="A61" workbookViewId="0">
      <selection activeCell="T23" sqref="T23"/>
    </sheetView>
  </sheetViews>
  <sheetFormatPr defaultRowHeight="15"/>
  <cols>
    <col min="2" max="2" width="18.5703125" customWidth="1"/>
    <col min="4" max="4" width="16.42578125" customWidth="1"/>
    <col min="6" max="6" width="13.140625" customWidth="1"/>
    <col min="7" max="7" width="15.85546875" customWidth="1"/>
    <col min="8" max="8" width="11.5703125" customWidth="1"/>
    <col min="9" max="9" width="17.140625" customWidth="1"/>
    <col min="10" max="10" width="10.85546875" bestFit="1" customWidth="1"/>
    <col min="11" max="11" width="13.140625" customWidth="1"/>
    <col min="12" max="12" width="12" style="1" customWidth="1"/>
    <col min="13" max="13" width="11.28515625" style="1" customWidth="1"/>
    <col min="14" max="14" width="10.85546875" bestFit="1" customWidth="1"/>
    <col min="15" max="15" width="10" bestFit="1" customWidth="1"/>
    <col min="17" max="17" width="9.5703125" bestFit="1" customWidth="1"/>
    <col min="18" max="18" width="11.28515625" customWidth="1"/>
    <col min="19" max="20" width="10.85546875" bestFit="1" customWidth="1"/>
    <col min="21" max="22" width="9.5703125" bestFit="1" customWidth="1"/>
  </cols>
  <sheetData>
    <row r="1" spans="1:21" s="1" customFormat="1" ht="43.5" customHeight="1">
      <c r="A1" s="455" t="s">
        <v>199</v>
      </c>
      <c r="B1" s="456"/>
      <c r="C1" s="456"/>
      <c r="D1" s="456"/>
      <c r="E1" s="456"/>
      <c r="F1" s="456"/>
      <c r="G1" s="457"/>
      <c r="H1" s="179">
        <v>5530000</v>
      </c>
      <c r="I1" s="179">
        <v>216000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</row>
    <row r="2" spans="1:21" s="1" customFormat="1" ht="36.75" customHeight="1">
      <c r="A2" s="322" t="s">
        <v>24</v>
      </c>
      <c r="B2" s="323"/>
      <c r="C2" s="323"/>
      <c r="D2" s="323"/>
      <c r="E2" s="323"/>
      <c r="F2" s="323"/>
      <c r="G2" s="323"/>
      <c r="H2" s="344"/>
      <c r="I2" s="111">
        <v>48000</v>
      </c>
      <c r="J2" s="326" t="s">
        <v>102</v>
      </c>
      <c r="K2" s="327"/>
      <c r="L2" s="327"/>
      <c r="M2" s="327"/>
      <c r="N2" s="327"/>
      <c r="O2" s="328"/>
      <c r="P2" s="329" t="s">
        <v>103</v>
      </c>
      <c r="Q2" s="329"/>
      <c r="R2" s="343" t="s">
        <v>104</v>
      </c>
      <c r="S2" s="343"/>
      <c r="T2" s="343"/>
      <c r="U2" s="343"/>
    </row>
    <row r="3" spans="1:21" s="1" customFormat="1" ht="101.2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25.5" customHeight="1">
      <c r="A4" s="38">
        <v>1</v>
      </c>
      <c r="B4" s="77" t="s">
        <v>25</v>
      </c>
      <c r="C4" s="4">
        <v>226.95</v>
      </c>
      <c r="D4" s="78" t="s">
        <v>75</v>
      </c>
      <c r="E4" s="99">
        <v>210</v>
      </c>
      <c r="F4" s="33">
        <f>E4*C4</f>
        <v>47659.5</v>
      </c>
      <c r="G4" s="68">
        <v>210</v>
      </c>
      <c r="H4" s="68">
        <f>I4/C4</f>
        <v>202.99184842476316</v>
      </c>
      <c r="I4" s="2">
        <v>46069</v>
      </c>
      <c r="J4" s="47">
        <v>46069</v>
      </c>
      <c r="K4" s="47" t="s">
        <v>206</v>
      </c>
      <c r="L4" s="153" t="s">
        <v>207</v>
      </c>
      <c r="M4" s="47">
        <v>43900</v>
      </c>
      <c r="N4" s="47">
        <v>210</v>
      </c>
      <c r="O4" s="186">
        <v>209.04759999999999</v>
      </c>
      <c r="P4" s="47"/>
      <c r="Q4" s="47">
        <f>J4-M4</f>
        <v>2169</v>
      </c>
      <c r="R4" s="47">
        <v>210</v>
      </c>
      <c r="S4" s="47">
        <f>R4*O4</f>
        <v>43899.995999999999</v>
      </c>
      <c r="T4" s="47"/>
      <c r="U4" s="47"/>
    </row>
    <row r="5" spans="1:21" s="1" customFormat="1">
      <c r="B5" s="82"/>
      <c r="E5" s="97"/>
      <c r="F5" s="124">
        <v>47659.5</v>
      </c>
      <c r="G5" s="60"/>
      <c r="H5" s="60"/>
      <c r="I5" s="74">
        <v>46069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s="1" customFormat="1">
      <c r="B6" s="82"/>
      <c r="E6" s="97"/>
      <c r="F6" s="124"/>
      <c r="G6" s="60"/>
      <c r="H6" s="60"/>
      <c r="I6" s="74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1:21" s="1" customFormat="1" ht="44.25" customHeight="1">
      <c r="A7" s="322" t="s">
        <v>200</v>
      </c>
      <c r="B7" s="323"/>
      <c r="C7" s="323"/>
      <c r="D7" s="323"/>
      <c r="E7" s="323"/>
      <c r="F7" s="323"/>
      <c r="G7" s="323"/>
      <c r="H7" s="323"/>
      <c r="I7" s="140">
        <v>61000</v>
      </c>
      <c r="J7" s="326" t="s">
        <v>102</v>
      </c>
      <c r="K7" s="327"/>
      <c r="L7" s="327"/>
      <c r="M7" s="327"/>
      <c r="N7" s="327"/>
      <c r="O7" s="328"/>
      <c r="P7" s="329" t="s">
        <v>103</v>
      </c>
      <c r="Q7" s="329"/>
      <c r="R7" s="343" t="s">
        <v>104</v>
      </c>
      <c r="S7" s="343"/>
      <c r="T7" s="343"/>
      <c r="U7" s="343"/>
    </row>
    <row r="8" spans="1:21" s="1" customFormat="1" ht="101.25">
      <c r="A8" s="15" t="s">
        <v>0</v>
      </c>
      <c r="B8" s="16" t="s">
        <v>1</v>
      </c>
      <c r="C8" s="5" t="s">
        <v>52</v>
      </c>
      <c r="D8" s="5" t="s">
        <v>73</v>
      </c>
      <c r="E8" s="98" t="s">
        <v>90</v>
      </c>
      <c r="F8" s="90" t="s">
        <v>93</v>
      </c>
      <c r="G8" s="62" t="s">
        <v>89</v>
      </c>
      <c r="H8" s="62" t="s">
        <v>97</v>
      </c>
      <c r="I8" s="62" t="s">
        <v>94</v>
      </c>
      <c r="J8" s="143" t="s">
        <v>109</v>
      </c>
      <c r="K8" s="143" t="s">
        <v>107</v>
      </c>
      <c r="L8" s="143" t="s">
        <v>100</v>
      </c>
      <c r="M8" s="143" t="s">
        <v>46</v>
      </c>
      <c r="N8" s="145" t="s">
        <v>47</v>
      </c>
      <c r="O8" s="143" t="s">
        <v>101</v>
      </c>
      <c r="P8" s="42" t="s">
        <v>53</v>
      </c>
      <c r="Q8" s="42" t="s">
        <v>48</v>
      </c>
      <c r="R8" s="43" t="s">
        <v>49</v>
      </c>
      <c r="S8" s="44" t="s">
        <v>50</v>
      </c>
      <c r="T8" s="43" t="s">
        <v>51</v>
      </c>
      <c r="U8" s="44" t="s">
        <v>50</v>
      </c>
    </row>
    <row r="9" spans="1:21" s="1" customFormat="1" ht="34.5">
      <c r="A9" s="38">
        <v>1</v>
      </c>
      <c r="B9" s="23" t="s">
        <v>26</v>
      </c>
      <c r="C9" s="55">
        <v>0.435</v>
      </c>
      <c r="D9" s="78" t="s">
        <v>80</v>
      </c>
      <c r="E9" s="99">
        <v>110000</v>
      </c>
      <c r="F9" s="33">
        <f>E9*C9</f>
        <v>47850</v>
      </c>
      <c r="G9" s="68">
        <v>110000</v>
      </c>
      <c r="H9" s="138">
        <v>0.54954539999999996</v>
      </c>
      <c r="I9" s="39">
        <f>H9*G9</f>
        <v>60449.993999999999</v>
      </c>
      <c r="J9" s="47">
        <v>60450</v>
      </c>
      <c r="K9" s="47" t="s">
        <v>209</v>
      </c>
      <c r="L9" s="153" t="s">
        <v>208</v>
      </c>
      <c r="M9" s="47">
        <v>58190</v>
      </c>
      <c r="N9" s="47">
        <v>110000</v>
      </c>
      <c r="O9" s="55">
        <v>0.52900000000000003</v>
      </c>
      <c r="P9" s="47"/>
      <c r="Q9" s="47">
        <f>J9-M9</f>
        <v>2260</v>
      </c>
      <c r="R9" s="47">
        <v>30000</v>
      </c>
      <c r="S9" s="47">
        <f>R9*O9</f>
        <v>15870</v>
      </c>
      <c r="T9" s="47">
        <f>N9-R9</f>
        <v>80000</v>
      </c>
      <c r="U9" s="47">
        <f>T9*O9</f>
        <v>42320</v>
      </c>
    </row>
    <row r="10" spans="1:21" s="1" customFormat="1">
      <c r="A10" s="20"/>
      <c r="B10" s="10"/>
      <c r="C10" s="7"/>
      <c r="D10" s="7"/>
      <c r="E10" s="102"/>
      <c r="F10" s="113">
        <v>47850</v>
      </c>
      <c r="G10" s="60"/>
      <c r="H10" s="60"/>
      <c r="I10" s="74">
        <v>60449.99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s="1" customFormat="1" ht="8.25" customHeight="1">
      <c r="A11" s="12"/>
      <c r="B11" s="84"/>
      <c r="C11" s="13"/>
      <c r="D11" s="13"/>
      <c r="E11" s="105"/>
      <c r="F11" s="93"/>
      <c r="G11" s="2"/>
      <c r="H11" s="2"/>
      <c r="I11" s="2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s="1" customFormat="1" ht="51" customHeight="1">
      <c r="A12" s="322" t="s">
        <v>201</v>
      </c>
      <c r="B12" s="323"/>
      <c r="C12" s="323"/>
      <c r="D12" s="323"/>
      <c r="E12" s="323"/>
      <c r="F12" s="323"/>
      <c r="G12" s="323"/>
      <c r="H12" s="344"/>
      <c r="I12" s="111">
        <v>358500</v>
      </c>
      <c r="J12" s="326" t="s">
        <v>102</v>
      </c>
      <c r="K12" s="327"/>
      <c r="L12" s="327"/>
      <c r="M12" s="327"/>
      <c r="N12" s="327"/>
      <c r="O12" s="328"/>
      <c r="P12" s="329" t="s">
        <v>103</v>
      </c>
      <c r="Q12" s="329"/>
      <c r="R12" s="343" t="s">
        <v>104</v>
      </c>
      <c r="S12" s="343"/>
      <c r="T12" s="343"/>
      <c r="U12" s="343"/>
    </row>
    <row r="13" spans="1:21" s="1" customFormat="1" ht="101.25">
      <c r="A13" s="15" t="s">
        <v>0</v>
      </c>
      <c r="B13" s="16" t="s">
        <v>1</v>
      </c>
      <c r="C13" s="5" t="s">
        <v>52</v>
      </c>
      <c r="D13" s="5" t="s">
        <v>73</v>
      </c>
      <c r="E13" s="98" t="s">
        <v>90</v>
      </c>
      <c r="F13" s="90" t="s">
        <v>93</v>
      </c>
      <c r="G13" s="62" t="s">
        <v>89</v>
      </c>
      <c r="H13" s="62" t="s">
        <v>96</v>
      </c>
      <c r="I13" s="62" t="s">
        <v>94</v>
      </c>
      <c r="J13" s="143" t="s">
        <v>109</v>
      </c>
      <c r="K13" s="143" t="s">
        <v>107</v>
      </c>
      <c r="L13" s="143" t="s">
        <v>100</v>
      </c>
      <c r="M13" s="143" t="s">
        <v>46</v>
      </c>
      <c r="N13" s="145" t="s">
        <v>47</v>
      </c>
      <c r="O13" s="143" t="s">
        <v>101</v>
      </c>
      <c r="P13" s="42" t="s">
        <v>53</v>
      </c>
      <c r="Q13" s="42" t="s">
        <v>48</v>
      </c>
      <c r="R13" s="43" t="s">
        <v>49</v>
      </c>
      <c r="S13" s="44" t="s">
        <v>50</v>
      </c>
      <c r="T13" s="43" t="s">
        <v>51</v>
      </c>
      <c r="U13" s="44" t="s">
        <v>50</v>
      </c>
    </row>
    <row r="14" spans="1:21" s="1" customFormat="1" ht="24" customHeight="1">
      <c r="A14" s="38"/>
      <c r="B14" s="23" t="s">
        <v>27</v>
      </c>
      <c r="C14" s="21">
        <v>0</v>
      </c>
      <c r="D14" s="21"/>
      <c r="E14" s="106">
        <v>130</v>
      </c>
      <c r="F14" s="94"/>
      <c r="G14" s="2">
        <v>0</v>
      </c>
      <c r="H14" s="2"/>
      <c r="I14" s="2"/>
      <c r="J14" s="351" t="s">
        <v>214</v>
      </c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3"/>
    </row>
    <row r="15" spans="1:21" s="1" customFormat="1" ht="45.75" customHeight="1">
      <c r="A15" s="420">
        <v>1</v>
      </c>
      <c r="B15" s="443" t="s">
        <v>28</v>
      </c>
      <c r="C15" s="376">
        <v>71.8</v>
      </c>
      <c r="D15" s="378" t="s">
        <v>80</v>
      </c>
      <c r="E15" s="380">
        <v>4800</v>
      </c>
      <c r="F15" s="382">
        <f>E15*C15</f>
        <v>344640</v>
      </c>
      <c r="G15" s="367">
        <v>4800</v>
      </c>
      <c r="H15" s="367">
        <v>74.67</v>
      </c>
      <c r="I15" s="403">
        <f>H15*G15</f>
        <v>358416</v>
      </c>
      <c r="J15" s="47">
        <v>112004</v>
      </c>
      <c r="K15" s="47" t="s">
        <v>215</v>
      </c>
      <c r="L15" s="153" t="s">
        <v>216</v>
      </c>
      <c r="M15" s="47">
        <v>112003.2</v>
      </c>
      <c r="N15" s="47">
        <v>1500</v>
      </c>
      <c r="O15" s="186">
        <v>74.668800000000005</v>
      </c>
      <c r="P15" s="47"/>
      <c r="Q15" s="47">
        <v>0.8</v>
      </c>
      <c r="R15" s="47">
        <v>1500</v>
      </c>
      <c r="S15" s="47">
        <f>R15*O15</f>
        <v>112003.20000000001</v>
      </c>
      <c r="T15" s="47"/>
      <c r="U15" s="47"/>
    </row>
    <row r="16" spans="1:21" s="1" customFormat="1" ht="27.75" customHeight="1">
      <c r="A16" s="422"/>
      <c r="B16" s="444"/>
      <c r="C16" s="377"/>
      <c r="D16" s="379"/>
      <c r="E16" s="381"/>
      <c r="F16" s="383"/>
      <c r="G16" s="368"/>
      <c r="H16" s="368"/>
      <c r="I16" s="405"/>
      <c r="J16" s="47">
        <v>242220</v>
      </c>
      <c r="K16" s="47" t="s">
        <v>217</v>
      </c>
      <c r="L16" s="153" t="s">
        <v>218</v>
      </c>
      <c r="M16" s="47">
        <v>242220</v>
      </c>
      <c r="N16" s="47">
        <v>3300</v>
      </c>
      <c r="O16" s="75">
        <v>73.400000000000006</v>
      </c>
      <c r="P16" s="47"/>
      <c r="Q16" s="47">
        <v>0</v>
      </c>
      <c r="R16" s="47">
        <v>1300</v>
      </c>
      <c r="S16" s="47">
        <f>R16*O16</f>
        <v>95420.000000000015</v>
      </c>
      <c r="T16" s="47">
        <f>N16-R16</f>
        <v>2000</v>
      </c>
      <c r="U16" s="47">
        <f>T16*O16</f>
        <v>146800</v>
      </c>
    </row>
    <row r="17" spans="1:22" s="1" customFormat="1" ht="34.5">
      <c r="A17" s="38"/>
      <c r="B17" s="23" t="s">
        <v>29</v>
      </c>
      <c r="C17" s="21">
        <v>0</v>
      </c>
      <c r="D17" s="21"/>
      <c r="E17" s="106">
        <v>130</v>
      </c>
      <c r="F17" s="94"/>
      <c r="G17" s="2">
        <v>0</v>
      </c>
      <c r="H17" s="2"/>
      <c r="I17" s="2"/>
      <c r="J17" s="351" t="s">
        <v>214</v>
      </c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3"/>
    </row>
    <row r="18" spans="1:22" s="1" customFormat="1" ht="23.25">
      <c r="A18" s="38"/>
      <c r="B18" s="23" t="s">
        <v>30</v>
      </c>
      <c r="C18" s="21">
        <v>0</v>
      </c>
      <c r="D18" s="21"/>
      <c r="E18" s="106">
        <v>48000</v>
      </c>
      <c r="F18" s="94"/>
      <c r="G18" s="2">
        <v>0</v>
      </c>
      <c r="H18" s="2"/>
      <c r="I18" s="2"/>
      <c r="J18" s="351" t="s">
        <v>214</v>
      </c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3"/>
    </row>
    <row r="19" spans="1:22" s="1" customFormat="1" ht="16.5" customHeight="1">
      <c r="B19" s="82"/>
      <c r="E19" s="97"/>
      <c r="F19" s="124">
        <v>344640</v>
      </c>
      <c r="G19" s="60"/>
      <c r="H19" s="60"/>
      <c r="I19" s="74">
        <v>358416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2" s="1" customFormat="1" ht="32.25" customHeight="1">
      <c r="A20" s="347" t="s">
        <v>202</v>
      </c>
      <c r="B20" s="348"/>
      <c r="C20" s="348"/>
      <c r="D20" s="348"/>
      <c r="E20" s="348"/>
      <c r="F20" s="348"/>
      <c r="G20" s="348"/>
      <c r="H20" s="349"/>
      <c r="I20" s="111">
        <v>320000</v>
      </c>
      <c r="J20" s="326" t="s">
        <v>102</v>
      </c>
      <c r="K20" s="327"/>
      <c r="L20" s="327"/>
      <c r="M20" s="327"/>
      <c r="N20" s="327"/>
      <c r="O20" s="328"/>
      <c r="P20" s="329" t="s">
        <v>103</v>
      </c>
      <c r="Q20" s="329"/>
      <c r="R20" s="343" t="s">
        <v>104</v>
      </c>
      <c r="S20" s="343"/>
      <c r="T20" s="343"/>
      <c r="U20" s="343"/>
    </row>
    <row r="21" spans="1:22" s="1" customFormat="1" ht="101.25">
      <c r="A21" s="3" t="s">
        <v>0</v>
      </c>
      <c r="B21" s="16" t="s">
        <v>1</v>
      </c>
      <c r="C21" s="5" t="s">
        <v>52</v>
      </c>
      <c r="D21" s="5" t="s">
        <v>73</v>
      </c>
      <c r="E21" s="98" t="s">
        <v>90</v>
      </c>
      <c r="F21" s="90" t="s">
        <v>93</v>
      </c>
      <c r="G21" s="62" t="s">
        <v>89</v>
      </c>
      <c r="H21" s="62" t="s">
        <v>97</v>
      </c>
      <c r="I21" s="62" t="s">
        <v>94</v>
      </c>
      <c r="J21" s="143" t="s">
        <v>109</v>
      </c>
      <c r="K21" s="143" t="s">
        <v>107</v>
      </c>
      <c r="L21" s="143" t="s">
        <v>100</v>
      </c>
      <c r="M21" s="143" t="s">
        <v>46</v>
      </c>
      <c r="N21" s="145" t="s">
        <v>47</v>
      </c>
      <c r="O21" s="143" t="s">
        <v>101</v>
      </c>
      <c r="P21" s="42" t="s">
        <v>53</v>
      </c>
      <c r="Q21" s="42" t="s">
        <v>48</v>
      </c>
      <c r="R21" s="43" t="s">
        <v>49</v>
      </c>
      <c r="S21" s="44" t="s">
        <v>50</v>
      </c>
      <c r="T21" s="43" t="s">
        <v>51</v>
      </c>
      <c r="U21" s="44" t="s">
        <v>50</v>
      </c>
    </row>
    <row r="22" spans="1:22" s="1" customFormat="1" ht="45.75" customHeight="1">
      <c r="A22" s="8">
        <v>1</v>
      </c>
      <c r="B22" s="23" t="s">
        <v>32</v>
      </c>
      <c r="C22" s="47">
        <v>30</v>
      </c>
      <c r="D22" s="78" t="s">
        <v>80</v>
      </c>
      <c r="E22" s="99">
        <v>370</v>
      </c>
      <c r="F22" s="33">
        <f>E22*C22</f>
        <v>11100</v>
      </c>
      <c r="G22" s="68">
        <v>370</v>
      </c>
      <c r="H22" s="68"/>
      <c r="I22" s="2">
        <v>22770</v>
      </c>
      <c r="J22" s="324">
        <v>41048</v>
      </c>
      <c r="K22" s="330" t="s">
        <v>223</v>
      </c>
      <c r="L22" s="324" t="s">
        <v>221</v>
      </c>
      <c r="M22" s="324">
        <v>40051.14</v>
      </c>
      <c r="N22" s="47">
        <v>167</v>
      </c>
      <c r="O22" s="47">
        <v>50.46</v>
      </c>
      <c r="P22" s="324"/>
      <c r="Q22" s="324">
        <f>J22-M22</f>
        <v>996.86000000000058</v>
      </c>
      <c r="R22" s="47">
        <v>167</v>
      </c>
      <c r="S22" s="47">
        <f>R22*O22</f>
        <v>8426.82</v>
      </c>
      <c r="T22" s="47"/>
      <c r="U22" s="47"/>
    </row>
    <row r="23" spans="1:22" s="1" customFormat="1" ht="25.5" customHeight="1">
      <c r="A23" s="420">
        <v>2</v>
      </c>
      <c r="B23" s="423" t="s">
        <v>31</v>
      </c>
      <c r="C23" s="426">
        <v>43.72</v>
      </c>
      <c r="D23" s="429" t="s">
        <v>80</v>
      </c>
      <c r="E23" s="432">
        <v>380</v>
      </c>
      <c r="F23" s="437">
        <f>E23*C23</f>
        <v>16613.599999999999</v>
      </c>
      <c r="G23" s="440">
        <v>380</v>
      </c>
      <c r="H23" s="440"/>
      <c r="I23" s="445">
        <v>44840</v>
      </c>
      <c r="J23" s="325"/>
      <c r="K23" s="331"/>
      <c r="L23" s="325"/>
      <c r="M23" s="325"/>
      <c r="N23" s="47">
        <v>362</v>
      </c>
      <c r="O23" s="47">
        <v>87.36</v>
      </c>
      <c r="P23" s="325"/>
      <c r="Q23" s="325"/>
      <c r="R23" s="47">
        <v>262</v>
      </c>
      <c r="S23" s="47">
        <f>R23*O23</f>
        <v>22888.32</v>
      </c>
      <c r="T23" s="47">
        <f>N23-R23</f>
        <v>100</v>
      </c>
      <c r="U23" s="47">
        <f>T23*O23</f>
        <v>8736</v>
      </c>
    </row>
    <row r="24" spans="1:22" s="1" customFormat="1" ht="34.5" customHeight="1">
      <c r="A24" s="421"/>
      <c r="B24" s="424"/>
      <c r="C24" s="427"/>
      <c r="D24" s="430"/>
      <c r="E24" s="433"/>
      <c r="F24" s="438"/>
      <c r="G24" s="441"/>
      <c r="H24" s="441"/>
      <c r="I24" s="446"/>
      <c r="J24" s="150"/>
      <c r="K24" s="150" t="s">
        <v>58</v>
      </c>
      <c r="L24" s="146" t="s">
        <v>219</v>
      </c>
      <c r="M24" s="151">
        <v>3802.95</v>
      </c>
      <c r="N24" s="47">
        <v>39</v>
      </c>
      <c r="O24" s="186">
        <v>97.511499999999998</v>
      </c>
      <c r="P24" s="150"/>
      <c r="Q24" s="150"/>
      <c r="R24" s="47">
        <v>39</v>
      </c>
      <c r="S24" s="47">
        <f>R24*O24</f>
        <v>3802.9485</v>
      </c>
      <c r="T24" s="47"/>
      <c r="U24" s="47"/>
    </row>
    <row r="25" spans="1:22" s="1" customFormat="1" ht="32.25" customHeight="1">
      <c r="A25" s="422"/>
      <c r="B25" s="425"/>
      <c r="C25" s="428"/>
      <c r="D25" s="431"/>
      <c r="E25" s="434"/>
      <c r="F25" s="439"/>
      <c r="G25" s="442"/>
      <c r="H25" s="442"/>
      <c r="I25" s="447"/>
      <c r="J25" s="150"/>
      <c r="K25" s="150" t="s">
        <v>58</v>
      </c>
      <c r="L25" s="146" t="s">
        <v>220</v>
      </c>
      <c r="M25" s="151">
        <v>3929.76</v>
      </c>
      <c r="N25" s="47">
        <v>48</v>
      </c>
      <c r="O25" s="47">
        <v>81.89</v>
      </c>
      <c r="P25" s="150"/>
      <c r="Q25" s="150"/>
      <c r="R25" s="47">
        <v>48</v>
      </c>
      <c r="S25" s="47">
        <f>R25*O25</f>
        <v>3930.7200000000003</v>
      </c>
      <c r="T25" s="47"/>
      <c r="U25" s="47"/>
    </row>
    <row r="26" spans="1:22" s="1" customFormat="1" ht="34.5" customHeight="1">
      <c r="A26" s="420">
        <v>3</v>
      </c>
      <c r="B26" s="376" t="s">
        <v>222</v>
      </c>
      <c r="C26" s="324">
        <v>87.6</v>
      </c>
      <c r="D26" s="390" t="s">
        <v>80</v>
      </c>
      <c r="E26" s="392">
        <v>2740</v>
      </c>
      <c r="F26" s="384">
        <f t="shared" ref="F26" si="0">E26*C26</f>
        <v>240023.99999999997</v>
      </c>
      <c r="G26" s="387">
        <v>2740</v>
      </c>
      <c r="H26" s="387"/>
      <c r="I26" s="403">
        <v>314825</v>
      </c>
      <c r="J26" s="324">
        <v>257826</v>
      </c>
      <c r="K26" s="324" t="s">
        <v>224</v>
      </c>
      <c r="L26" s="330" t="s">
        <v>225</v>
      </c>
      <c r="M26" s="324">
        <v>255763.94</v>
      </c>
      <c r="N26" s="324">
        <v>2237</v>
      </c>
      <c r="O26" s="449">
        <v>114.333457</v>
      </c>
      <c r="P26" s="150"/>
      <c r="Q26" s="150"/>
      <c r="R26" s="47">
        <v>24</v>
      </c>
      <c r="S26" s="47">
        <f>R26*O26</f>
        <v>2744.0029679999998</v>
      </c>
      <c r="T26" s="47"/>
      <c r="U26" s="47">
        <f>V26*O26</f>
        <v>128167.805297</v>
      </c>
      <c r="V26" s="89">
        <f>N26-R26-R27-R28</f>
        <v>1121</v>
      </c>
    </row>
    <row r="27" spans="1:22" s="1" customFormat="1">
      <c r="A27" s="421"/>
      <c r="B27" s="436"/>
      <c r="C27" s="435"/>
      <c r="D27" s="401"/>
      <c r="E27" s="402"/>
      <c r="F27" s="385"/>
      <c r="G27" s="388"/>
      <c r="H27" s="388"/>
      <c r="I27" s="404"/>
      <c r="J27" s="435"/>
      <c r="K27" s="435"/>
      <c r="L27" s="448"/>
      <c r="M27" s="435"/>
      <c r="N27" s="435"/>
      <c r="O27" s="450"/>
      <c r="P27" s="150"/>
      <c r="Q27" s="150"/>
      <c r="R27" s="47">
        <v>708</v>
      </c>
      <c r="S27" s="47">
        <f>R27*O26</f>
        <v>80948.087555999999</v>
      </c>
      <c r="T27" s="47"/>
      <c r="U27" s="47"/>
    </row>
    <row r="28" spans="1:22" s="1" customFormat="1">
      <c r="A28" s="422"/>
      <c r="B28" s="377"/>
      <c r="C28" s="325"/>
      <c r="D28" s="391"/>
      <c r="E28" s="393"/>
      <c r="F28" s="386"/>
      <c r="G28" s="389"/>
      <c r="H28" s="389"/>
      <c r="I28" s="405"/>
      <c r="J28" s="325"/>
      <c r="K28" s="325"/>
      <c r="L28" s="331"/>
      <c r="M28" s="325"/>
      <c r="N28" s="325"/>
      <c r="O28" s="451"/>
      <c r="P28" s="150"/>
      <c r="Q28" s="150"/>
      <c r="R28" s="47">
        <v>384</v>
      </c>
      <c r="S28" s="47">
        <f>R28*O26</f>
        <v>43904.047487999997</v>
      </c>
      <c r="T28" s="47"/>
      <c r="U28" s="47"/>
    </row>
    <row r="29" spans="1:22" s="1" customFormat="1">
      <c r="A29" s="45"/>
      <c r="B29" s="85"/>
      <c r="C29" s="45"/>
      <c r="D29" s="45"/>
      <c r="E29" s="107"/>
      <c r="F29" s="125">
        <f>SUM(F22:F26)</f>
        <v>267737.59999999998</v>
      </c>
      <c r="G29" s="49"/>
      <c r="H29" s="134"/>
      <c r="I29" s="74">
        <v>367000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2" s="1" customFormat="1">
      <c r="A30" s="118"/>
      <c r="B30" s="206"/>
      <c r="C30" s="120"/>
      <c r="D30" s="120"/>
      <c r="E30" s="207"/>
      <c r="F30" s="208"/>
      <c r="G30" s="209"/>
      <c r="H30" s="210"/>
      <c r="I30" s="74"/>
      <c r="J30" s="211"/>
      <c r="K30" s="209"/>
      <c r="L30" s="209"/>
      <c r="M30" s="209"/>
      <c r="N30" s="209"/>
      <c r="O30" s="212"/>
      <c r="P30" s="49"/>
      <c r="Q30" s="49"/>
      <c r="R30" s="49"/>
      <c r="S30" s="49"/>
      <c r="T30" s="49"/>
      <c r="U30" s="49"/>
    </row>
    <row r="31" spans="1:22" s="1" customFormat="1" ht="36" customHeight="1">
      <c r="A31" s="322" t="s">
        <v>203</v>
      </c>
      <c r="B31" s="323"/>
      <c r="C31" s="323"/>
      <c r="D31" s="323"/>
      <c r="E31" s="323"/>
      <c r="F31" s="323"/>
      <c r="G31" s="323"/>
      <c r="H31" s="344"/>
      <c r="I31" s="140">
        <v>3786500</v>
      </c>
      <c r="J31" s="326" t="s">
        <v>102</v>
      </c>
      <c r="K31" s="327"/>
      <c r="L31" s="327"/>
      <c r="M31" s="327"/>
      <c r="N31" s="327"/>
      <c r="O31" s="328"/>
      <c r="P31" s="329" t="s">
        <v>103</v>
      </c>
      <c r="Q31" s="329"/>
      <c r="R31" s="343" t="s">
        <v>104</v>
      </c>
      <c r="S31" s="343"/>
      <c r="T31" s="343"/>
      <c r="U31" s="343"/>
    </row>
    <row r="32" spans="1:22" s="1" customFormat="1" ht="45" customHeight="1">
      <c r="A32" s="15" t="s">
        <v>0</v>
      </c>
      <c r="B32" s="16" t="s">
        <v>1</v>
      </c>
      <c r="C32" s="5" t="s">
        <v>52</v>
      </c>
      <c r="D32" s="5" t="s">
        <v>73</v>
      </c>
      <c r="E32" s="98" t="s">
        <v>90</v>
      </c>
      <c r="F32" s="90" t="s">
        <v>93</v>
      </c>
      <c r="G32" s="62" t="s">
        <v>89</v>
      </c>
      <c r="H32" s="62" t="s">
        <v>97</v>
      </c>
      <c r="I32" s="62" t="s">
        <v>94</v>
      </c>
      <c r="J32" s="143" t="s">
        <v>109</v>
      </c>
      <c r="K32" s="143" t="s">
        <v>107</v>
      </c>
      <c r="L32" s="143" t="s">
        <v>100</v>
      </c>
      <c r="M32" s="143" t="s">
        <v>46</v>
      </c>
      <c r="N32" s="145" t="s">
        <v>47</v>
      </c>
      <c r="O32" s="143" t="s">
        <v>101</v>
      </c>
      <c r="P32" s="42" t="s">
        <v>53</v>
      </c>
      <c r="Q32" s="42" t="s">
        <v>48</v>
      </c>
      <c r="R32" s="43" t="s">
        <v>49</v>
      </c>
      <c r="S32" s="44" t="s">
        <v>50</v>
      </c>
      <c r="T32" s="43" t="s">
        <v>51</v>
      </c>
      <c r="U32" s="44" t="s">
        <v>50</v>
      </c>
    </row>
    <row r="33" spans="1:22" s="1" customFormat="1" ht="37.5" customHeight="1">
      <c r="A33" s="24">
        <v>1</v>
      </c>
      <c r="B33" s="25" t="s">
        <v>33</v>
      </c>
      <c r="C33" s="19">
        <v>0.29260000000000003</v>
      </c>
      <c r="D33" s="78" t="s">
        <v>77</v>
      </c>
      <c r="E33" s="99">
        <v>800000</v>
      </c>
      <c r="F33" s="33">
        <f>E33*C33</f>
        <v>234080.00000000003</v>
      </c>
      <c r="G33" s="68">
        <v>800000</v>
      </c>
      <c r="H33" s="68"/>
      <c r="I33" s="73">
        <v>263340</v>
      </c>
      <c r="J33" s="47">
        <v>265120</v>
      </c>
      <c r="K33" s="47" t="s">
        <v>226</v>
      </c>
      <c r="L33" s="153" t="s">
        <v>227</v>
      </c>
      <c r="M33" s="47">
        <v>264000</v>
      </c>
      <c r="N33" s="47">
        <v>800000</v>
      </c>
      <c r="O33" s="55">
        <v>0.33</v>
      </c>
      <c r="P33" s="47"/>
      <c r="Q33" s="47">
        <f>J33-M33</f>
        <v>1120</v>
      </c>
      <c r="R33" s="47">
        <v>800000</v>
      </c>
      <c r="S33" s="47">
        <f t="shared" ref="S33:S40" si="1">R33*O33</f>
        <v>264000</v>
      </c>
      <c r="T33" s="47"/>
      <c r="U33" s="47"/>
    </row>
    <row r="34" spans="1:22" s="1" customFormat="1" ht="36" customHeight="1">
      <c r="A34" s="26">
        <v>2</v>
      </c>
      <c r="B34" s="29" t="s">
        <v>34</v>
      </c>
      <c r="C34" s="18">
        <v>0.31840000000000002</v>
      </c>
      <c r="D34" s="78" t="s">
        <v>77</v>
      </c>
      <c r="E34" s="99">
        <v>7200000</v>
      </c>
      <c r="F34" s="33">
        <f t="shared" ref="F34:F37" si="2">E34*C34</f>
        <v>2292480</v>
      </c>
      <c r="G34" s="68">
        <v>7200000</v>
      </c>
      <c r="H34" s="68"/>
      <c r="I34" s="73">
        <v>2303136</v>
      </c>
      <c r="J34" s="47">
        <v>2574849</v>
      </c>
      <c r="K34" s="47" t="s">
        <v>228</v>
      </c>
      <c r="L34" s="153" t="s">
        <v>229</v>
      </c>
      <c r="M34" s="47">
        <v>2079864</v>
      </c>
      <c r="N34" s="47">
        <v>7200000</v>
      </c>
      <c r="O34" s="57">
        <v>0.28887000000000002</v>
      </c>
      <c r="P34" s="47"/>
      <c r="Q34" s="47">
        <f>J34-M34</f>
        <v>494985</v>
      </c>
      <c r="R34" s="47">
        <v>5200000</v>
      </c>
      <c r="S34" s="47">
        <f t="shared" si="1"/>
        <v>1502124</v>
      </c>
      <c r="T34" s="47">
        <f>N34-R34</f>
        <v>2000000</v>
      </c>
      <c r="U34" s="47">
        <f>T34*O34</f>
        <v>577740</v>
      </c>
    </row>
    <row r="35" spans="1:22" s="1" customFormat="1" ht="51.75" customHeight="1">
      <c r="A35" s="24">
        <v>3</v>
      </c>
      <c r="B35" s="27" t="s">
        <v>35</v>
      </c>
      <c r="C35" s="4">
        <v>0.45</v>
      </c>
      <c r="D35" s="78" t="s">
        <v>77</v>
      </c>
      <c r="E35" s="99">
        <v>220000</v>
      </c>
      <c r="F35" s="33">
        <f t="shared" si="2"/>
        <v>99000</v>
      </c>
      <c r="G35" s="68">
        <v>220000</v>
      </c>
      <c r="H35" s="68"/>
      <c r="I35" s="73">
        <v>220000</v>
      </c>
      <c r="J35" s="47">
        <v>120626</v>
      </c>
      <c r="K35" s="47" t="s">
        <v>230</v>
      </c>
      <c r="L35" s="153" t="s">
        <v>231</v>
      </c>
      <c r="M35" s="47">
        <v>120626</v>
      </c>
      <c r="N35" s="47">
        <v>220000</v>
      </c>
      <c r="O35" s="47">
        <v>0.54830000000000001</v>
      </c>
      <c r="P35" s="47"/>
      <c r="Q35" s="47"/>
      <c r="R35" s="47">
        <v>220000</v>
      </c>
      <c r="S35" s="47">
        <f t="shared" si="1"/>
        <v>120626</v>
      </c>
      <c r="T35" s="47"/>
      <c r="U35" s="47"/>
      <c r="V35" s="54"/>
    </row>
    <row r="36" spans="1:22" s="1" customFormat="1" ht="33.75" customHeight="1">
      <c r="A36" s="26">
        <v>4</v>
      </c>
      <c r="B36" s="28" t="s">
        <v>36</v>
      </c>
      <c r="C36" s="4">
        <v>1.72784</v>
      </c>
      <c r="D36" s="78" t="s">
        <v>80</v>
      </c>
      <c r="E36" s="99">
        <v>80000</v>
      </c>
      <c r="F36" s="33">
        <f t="shared" si="2"/>
        <v>138227.20000000001</v>
      </c>
      <c r="G36" s="68">
        <v>80000</v>
      </c>
      <c r="H36" s="68"/>
      <c r="I36" s="73">
        <v>78000</v>
      </c>
      <c r="J36" s="47">
        <v>143880</v>
      </c>
      <c r="K36" s="47" t="s">
        <v>233</v>
      </c>
      <c r="L36" s="153" t="s">
        <v>232</v>
      </c>
      <c r="M36" s="47">
        <v>143878.39999999999</v>
      </c>
      <c r="N36" s="47">
        <v>80000</v>
      </c>
      <c r="O36" s="57">
        <v>1.7984800000000001</v>
      </c>
      <c r="P36" s="47"/>
      <c r="Q36" s="47">
        <f>J36-M36</f>
        <v>1.6000000000058208</v>
      </c>
      <c r="R36" s="47">
        <v>80000</v>
      </c>
      <c r="S36" s="47">
        <f t="shared" si="1"/>
        <v>143878.39999999999</v>
      </c>
      <c r="T36" s="47"/>
      <c r="U36" s="47"/>
      <c r="V36" s="54"/>
    </row>
    <row r="37" spans="1:22" s="1" customFormat="1" ht="25.5" customHeight="1">
      <c r="A37" s="418">
        <v>5</v>
      </c>
      <c r="B37" s="376" t="s">
        <v>37</v>
      </c>
      <c r="C37" s="414">
        <v>1481.48</v>
      </c>
      <c r="D37" s="390" t="s">
        <v>77</v>
      </c>
      <c r="E37" s="392">
        <v>90</v>
      </c>
      <c r="F37" s="384">
        <f t="shared" si="2"/>
        <v>133333.20000000001</v>
      </c>
      <c r="G37" s="387">
        <v>90</v>
      </c>
      <c r="H37" s="387"/>
      <c r="I37" s="410">
        <v>80000</v>
      </c>
      <c r="J37" s="47"/>
      <c r="K37" s="47" t="s">
        <v>58</v>
      </c>
      <c r="L37" s="153" t="s">
        <v>234</v>
      </c>
      <c r="M37" s="47">
        <v>22110</v>
      </c>
      <c r="N37" s="47">
        <v>33</v>
      </c>
      <c r="O37" s="47">
        <v>670</v>
      </c>
      <c r="P37" s="47"/>
      <c r="Q37" s="47"/>
      <c r="R37" s="47">
        <v>330</v>
      </c>
      <c r="S37" s="70">
        <f t="shared" si="1"/>
        <v>221100</v>
      </c>
      <c r="T37" s="47"/>
      <c r="U37" s="47"/>
    </row>
    <row r="38" spans="1:22" s="1" customFormat="1" ht="25.5" customHeight="1">
      <c r="A38" s="419"/>
      <c r="B38" s="377"/>
      <c r="C38" s="415"/>
      <c r="D38" s="391"/>
      <c r="E38" s="393"/>
      <c r="F38" s="386"/>
      <c r="G38" s="389"/>
      <c r="H38" s="389"/>
      <c r="I38" s="411"/>
      <c r="J38" s="47">
        <v>95181</v>
      </c>
      <c r="K38" s="47" t="s">
        <v>236</v>
      </c>
      <c r="L38" s="154" t="s">
        <v>235</v>
      </c>
      <c r="M38" s="47">
        <v>38190</v>
      </c>
      <c r="N38" s="47">
        <v>57</v>
      </c>
      <c r="O38" s="47">
        <v>670</v>
      </c>
      <c r="P38" s="47"/>
      <c r="Q38" s="47"/>
      <c r="R38" s="47">
        <v>57</v>
      </c>
      <c r="S38" s="70">
        <f t="shared" si="1"/>
        <v>38190</v>
      </c>
      <c r="T38" s="47"/>
      <c r="U38" s="47"/>
    </row>
    <row r="39" spans="1:22" s="1" customFormat="1" ht="45" customHeight="1">
      <c r="A39" s="412">
        <v>6</v>
      </c>
      <c r="B39" s="395" t="s">
        <v>57</v>
      </c>
      <c r="C39" s="414" t="s">
        <v>70</v>
      </c>
      <c r="D39" s="390" t="s">
        <v>77</v>
      </c>
      <c r="E39" s="392">
        <v>200000</v>
      </c>
      <c r="F39" s="384">
        <f>E39*2.51086</f>
        <v>502172</v>
      </c>
      <c r="G39" s="387">
        <v>200000</v>
      </c>
      <c r="H39" s="367"/>
      <c r="I39" s="416">
        <v>324000</v>
      </c>
      <c r="J39" s="69">
        <v>123367</v>
      </c>
      <c r="K39" s="47" t="s">
        <v>237</v>
      </c>
      <c r="L39" s="214" t="s">
        <v>238</v>
      </c>
      <c r="M39" s="69">
        <v>49500</v>
      </c>
      <c r="N39" s="69">
        <v>45000</v>
      </c>
      <c r="O39" s="69">
        <v>1.1000000000000001</v>
      </c>
      <c r="P39" s="47"/>
      <c r="Q39" s="47">
        <v>0</v>
      </c>
      <c r="R39" s="69">
        <v>45000</v>
      </c>
      <c r="S39" s="69">
        <f t="shared" si="1"/>
        <v>49500.000000000007</v>
      </c>
      <c r="T39" s="69"/>
      <c r="U39" s="69"/>
      <c r="V39" s="54"/>
    </row>
    <row r="40" spans="1:22" s="1" customFormat="1" ht="45" customHeight="1">
      <c r="A40" s="413"/>
      <c r="B40" s="397"/>
      <c r="C40" s="415"/>
      <c r="D40" s="391"/>
      <c r="E40" s="393"/>
      <c r="F40" s="386"/>
      <c r="G40" s="389"/>
      <c r="H40" s="368"/>
      <c r="I40" s="417"/>
      <c r="J40" s="69">
        <v>402054</v>
      </c>
      <c r="K40" s="47" t="s">
        <v>239</v>
      </c>
      <c r="L40" s="215" t="s">
        <v>240</v>
      </c>
      <c r="M40" s="69">
        <v>170500</v>
      </c>
      <c r="N40" s="69">
        <v>155000</v>
      </c>
      <c r="O40" s="69">
        <v>1.1000000000000001</v>
      </c>
      <c r="P40" s="47"/>
      <c r="Q40" s="47"/>
      <c r="R40" s="69">
        <v>155000</v>
      </c>
      <c r="S40" s="69">
        <f t="shared" si="1"/>
        <v>170500</v>
      </c>
      <c r="T40" s="69"/>
      <c r="U40" s="69"/>
      <c r="V40" s="54"/>
    </row>
    <row r="41" spans="1:22" s="1" customFormat="1" ht="35.25" customHeight="1">
      <c r="A41" s="26">
        <v>7</v>
      </c>
      <c r="B41" s="29" t="s">
        <v>65</v>
      </c>
      <c r="C41" s="4">
        <v>0.5</v>
      </c>
      <c r="D41" s="78"/>
      <c r="E41" s="99"/>
      <c r="F41" s="33"/>
      <c r="G41" s="2"/>
      <c r="H41" s="60"/>
      <c r="I41" s="76" t="s">
        <v>66</v>
      </c>
      <c r="J41" s="452" t="s">
        <v>241</v>
      </c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4"/>
      <c r="V41" s="54"/>
    </row>
    <row r="42" spans="1:22" s="1" customFormat="1">
      <c r="A42" s="38"/>
      <c r="B42" s="23"/>
      <c r="C42" s="4"/>
      <c r="D42" s="4"/>
      <c r="E42" s="108"/>
      <c r="F42" s="126">
        <f>F33+F34+F35+F36+F37+F39</f>
        <v>3399292.4000000004</v>
      </c>
      <c r="G42" s="2"/>
      <c r="H42" s="60"/>
      <c r="I42" s="74">
        <v>3523600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2" s="1" customFormat="1" ht="36" customHeight="1">
      <c r="A43" s="322" t="s">
        <v>204</v>
      </c>
      <c r="B43" s="323"/>
      <c r="C43" s="323"/>
      <c r="D43" s="323"/>
      <c r="E43" s="323"/>
      <c r="F43" s="323"/>
      <c r="G43" s="323"/>
      <c r="H43" s="344"/>
      <c r="I43" s="111">
        <v>521000</v>
      </c>
      <c r="J43" s="326" t="s">
        <v>102</v>
      </c>
      <c r="K43" s="327"/>
      <c r="L43" s="327"/>
      <c r="M43" s="327"/>
      <c r="N43" s="327"/>
      <c r="O43" s="328"/>
      <c r="P43" s="329" t="s">
        <v>103</v>
      </c>
      <c r="Q43" s="329"/>
      <c r="R43" s="343" t="s">
        <v>104</v>
      </c>
      <c r="S43" s="343"/>
      <c r="T43" s="343"/>
      <c r="U43" s="343"/>
    </row>
    <row r="44" spans="1:22" s="1" customFormat="1" ht="77.25" customHeight="1">
      <c r="A44" s="15" t="s">
        <v>0</v>
      </c>
      <c r="B44" s="16" t="s">
        <v>1</v>
      </c>
      <c r="C44" s="5" t="s">
        <v>52</v>
      </c>
      <c r="D44" s="5" t="s">
        <v>73</v>
      </c>
      <c r="E44" s="98" t="s">
        <v>90</v>
      </c>
      <c r="F44" s="90" t="s">
        <v>93</v>
      </c>
      <c r="G44" s="62" t="s">
        <v>89</v>
      </c>
      <c r="H44" s="62" t="s">
        <v>97</v>
      </c>
      <c r="I44" s="62" t="s">
        <v>94</v>
      </c>
      <c r="J44" s="143" t="s">
        <v>109</v>
      </c>
      <c r="K44" s="143" t="s">
        <v>107</v>
      </c>
      <c r="L44" s="143" t="s">
        <v>100</v>
      </c>
      <c r="M44" s="143" t="s">
        <v>46</v>
      </c>
      <c r="N44" s="145" t="s">
        <v>47</v>
      </c>
      <c r="O44" s="143" t="s">
        <v>101</v>
      </c>
      <c r="P44" s="42" t="s">
        <v>53</v>
      </c>
      <c r="Q44" s="42" t="s">
        <v>48</v>
      </c>
      <c r="R44" s="43" t="s">
        <v>49</v>
      </c>
      <c r="S44" s="44" t="s">
        <v>50</v>
      </c>
      <c r="T44" s="43" t="s">
        <v>51</v>
      </c>
      <c r="U44" s="44" t="s">
        <v>50</v>
      </c>
    </row>
    <row r="45" spans="1:22" s="1" customFormat="1" ht="54.75" customHeight="1">
      <c r="A45" s="40">
        <v>1</v>
      </c>
      <c r="B45" s="41" t="s">
        <v>83</v>
      </c>
      <c r="C45" s="47" t="s">
        <v>71</v>
      </c>
      <c r="D45" s="78" t="s">
        <v>81</v>
      </c>
      <c r="E45" s="99">
        <v>240</v>
      </c>
      <c r="F45" s="127">
        <v>122256</v>
      </c>
      <c r="G45" s="64">
        <v>585</v>
      </c>
      <c r="H45" s="64"/>
      <c r="I45" s="64">
        <v>650000</v>
      </c>
      <c r="J45" s="324">
        <v>423440</v>
      </c>
      <c r="K45" s="324" t="s">
        <v>212</v>
      </c>
      <c r="L45" s="330" t="s">
        <v>213</v>
      </c>
      <c r="M45" s="324">
        <v>174129.23</v>
      </c>
      <c r="N45" s="47">
        <v>585</v>
      </c>
      <c r="O45" s="47">
        <v>200.68</v>
      </c>
      <c r="P45" s="47">
        <v>0</v>
      </c>
      <c r="Q45" s="47">
        <v>0</v>
      </c>
      <c r="R45" s="47">
        <v>585</v>
      </c>
      <c r="S45" s="47">
        <f>R45*O45</f>
        <v>117397.8</v>
      </c>
      <c r="T45" s="47">
        <f>N45-R45</f>
        <v>0</v>
      </c>
      <c r="U45" s="47">
        <f>T45*O45</f>
        <v>0</v>
      </c>
    </row>
    <row r="46" spans="1:22" s="1" customFormat="1" ht="46.5" customHeight="1">
      <c r="A46" s="40">
        <v>2</v>
      </c>
      <c r="B46" s="41" t="s">
        <v>84</v>
      </c>
      <c r="C46" s="47" t="s">
        <v>72</v>
      </c>
      <c r="D46" s="78" t="s">
        <v>81</v>
      </c>
      <c r="E46" s="99">
        <v>80</v>
      </c>
      <c r="F46" s="127">
        <v>101964</v>
      </c>
      <c r="G46" s="64">
        <v>113</v>
      </c>
      <c r="H46" s="64"/>
      <c r="I46" s="64"/>
      <c r="J46" s="325"/>
      <c r="K46" s="325"/>
      <c r="L46" s="331"/>
      <c r="M46" s="325"/>
      <c r="N46" s="47">
        <v>113</v>
      </c>
      <c r="O46" s="47">
        <v>502.1</v>
      </c>
      <c r="P46" s="47">
        <v>0</v>
      </c>
      <c r="Q46" s="47">
        <v>0</v>
      </c>
      <c r="R46" s="47">
        <v>113</v>
      </c>
      <c r="S46" s="47">
        <f t="shared" ref="S46:S49" si="3">R46*O46</f>
        <v>56737.3</v>
      </c>
      <c r="T46" s="47">
        <f t="shared" ref="T46" si="4">N46-R46</f>
        <v>0</v>
      </c>
      <c r="U46" s="47">
        <f t="shared" ref="U46" si="5">T46*O46</f>
        <v>0</v>
      </c>
    </row>
    <row r="47" spans="1:22" s="1" customFormat="1" ht="46.5" customHeight="1">
      <c r="A47" s="408">
        <v>3</v>
      </c>
      <c r="B47" s="395" t="s">
        <v>45</v>
      </c>
      <c r="C47" s="332">
        <v>324</v>
      </c>
      <c r="D47" s="378" t="s">
        <v>81</v>
      </c>
      <c r="E47" s="380">
        <v>52</v>
      </c>
      <c r="F47" s="382">
        <f>E47*C47</f>
        <v>16848</v>
      </c>
      <c r="G47" s="406">
        <v>204</v>
      </c>
      <c r="H47" s="406"/>
      <c r="I47" s="406"/>
      <c r="J47" s="151"/>
      <c r="K47" s="151" t="s">
        <v>58</v>
      </c>
      <c r="L47" s="146" t="s">
        <v>244</v>
      </c>
      <c r="M47" s="151">
        <v>5093</v>
      </c>
      <c r="N47" s="47">
        <v>20</v>
      </c>
      <c r="O47" s="47">
        <v>254.65</v>
      </c>
      <c r="P47" s="47"/>
      <c r="Q47" s="213"/>
      <c r="R47" s="47">
        <v>20</v>
      </c>
      <c r="S47" s="47">
        <f>R47*O47</f>
        <v>5093</v>
      </c>
      <c r="T47" s="47"/>
      <c r="U47" s="47"/>
    </row>
    <row r="48" spans="1:22" s="1" customFormat="1" ht="46.5" customHeight="1">
      <c r="A48" s="409"/>
      <c r="B48" s="397"/>
      <c r="C48" s="333"/>
      <c r="D48" s="379"/>
      <c r="E48" s="381"/>
      <c r="F48" s="383"/>
      <c r="G48" s="407"/>
      <c r="H48" s="407"/>
      <c r="I48" s="407"/>
      <c r="J48" s="330">
        <v>56777</v>
      </c>
      <c r="K48" s="324" t="s">
        <v>242</v>
      </c>
      <c r="L48" s="330" t="s">
        <v>243</v>
      </c>
      <c r="M48" s="324">
        <v>56777</v>
      </c>
      <c r="N48" s="47">
        <v>184</v>
      </c>
      <c r="O48" s="47">
        <v>254</v>
      </c>
      <c r="P48" s="47"/>
      <c r="Q48" s="149"/>
      <c r="R48" s="47">
        <v>184</v>
      </c>
      <c r="S48" s="47">
        <f>R48*O48</f>
        <v>46736</v>
      </c>
      <c r="T48" s="47"/>
      <c r="U48" s="47"/>
    </row>
    <row r="49" spans="1:21" s="1" customFormat="1" ht="46.5" customHeight="1">
      <c r="A49" s="40">
        <v>4</v>
      </c>
      <c r="B49" s="41" t="s">
        <v>64</v>
      </c>
      <c r="C49" s="47">
        <v>638</v>
      </c>
      <c r="D49" s="78" t="s">
        <v>81</v>
      </c>
      <c r="E49" s="99">
        <v>156</v>
      </c>
      <c r="F49" s="33">
        <f>E49*C49</f>
        <v>99528</v>
      </c>
      <c r="G49" s="64">
        <v>20</v>
      </c>
      <c r="H49" s="64"/>
      <c r="I49" s="64"/>
      <c r="J49" s="331"/>
      <c r="K49" s="325"/>
      <c r="L49" s="331"/>
      <c r="M49" s="325"/>
      <c r="N49" s="47">
        <v>20</v>
      </c>
      <c r="O49" s="47">
        <v>502.05</v>
      </c>
      <c r="P49" s="47"/>
      <c r="Q49" s="149"/>
      <c r="R49" s="47">
        <v>20</v>
      </c>
      <c r="S49" s="47">
        <f t="shared" si="3"/>
        <v>10041</v>
      </c>
      <c r="T49" s="47"/>
      <c r="U49" s="47"/>
    </row>
    <row r="50" spans="1:21" s="1" customFormat="1">
      <c r="A50" s="38"/>
      <c r="B50" s="23"/>
      <c r="C50" s="4"/>
      <c r="D50" s="4"/>
      <c r="E50" s="108"/>
      <c r="F50" s="126">
        <f>SUM(F45:F49)</f>
        <v>340596</v>
      </c>
      <c r="G50" s="2"/>
      <c r="H50" s="2"/>
      <c r="I50" s="73">
        <v>568000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21" s="1" customFormat="1" ht="36" customHeight="1">
      <c r="A51" s="322" t="s">
        <v>205</v>
      </c>
      <c r="B51" s="323"/>
      <c r="C51" s="323"/>
      <c r="D51" s="323"/>
      <c r="E51" s="323"/>
      <c r="F51" s="323"/>
      <c r="G51" s="323"/>
      <c r="H51" s="344"/>
      <c r="I51" s="111">
        <v>219000</v>
      </c>
      <c r="J51" s="326" t="s">
        <v>102</v>
      </c>
      <c r="K51" s="327"/>
      <c r="L51" s="327"/>
      <c r="M51" s="327"/>
      <c r="N51" s="327"/>
      <c r="O51" s="328"/>
      <c r="P51" s="329" t="s">
        <v>103</v>
      </c>
      <c r="Q51" s="329"/>
      <c r="R51" s="343" t="s">
        <v>104</v>
      </c>
      <c r="S51" s="343"/>
      <c r="T51" s="343"/>
      <c r="U51" s="343"/>
    </row>
    <row r="52" spans="1:21" s="1" customFormat="1" ht="56.25" customHeight="1">
      <c r="A52" s="15" t="s">
        <v>0</v>
      </c>
      <c r="B52" s="16" t="s">
        <v>1</v>
      </c>
      <c r="C52" s="5" t="s">
        <v>52</v>
      </c>
      <c r="D52" s="5" t="s">
        <v>73</v>
      </c>
      <c r="E52" s="98" t="s">
        <v>90</v>
      </c>
      <c r="F52" s="90" t="s">
        <v>93</v>
      </c>
      <c r="G52" s="62" t="s">
        <v>89</v>
      </c>
      <c r="H52" s="62" t="s">
        <v>97</v>
      </c>
      <c r="I52" s="62" t="s">
        <v>94</v>
      </c>
      <c r="J52" s="143" t="s">
        <v>109</v>
      </c>
      <c r="K52" s="143" t="s">
        <v>107</v>
      </c>
      <c r="L52" s="143" t="s">
        <v>100</v>
      </c>
      <c r="M52" s="143" t="s">
        <v>46</v>
      </c>
      <c r="N52" s="145" t="s">
        <v>47</v>
      </c>
      <c r="O52" s="143" t="s">
        <v>101</v>
      </c>
      <c r="P52" s="42" t="s">
        <v>53</v>
      </c>
      <c r="Q52" s="42" t="s">
        <v>48</v>
      </c>
      <c r="R52" s="43" t="s">
        <v>49</v>
      </c>
      <c r="S52" s="44" t="s">
        <v>50</v>
      </c>
      <c r="T52" s="43" t="s">
        <v>51</v>
      </c>
      <c r="U52" s="44" t="s">
        <v>50</v>
      </c>
    </row>
    <row r="53" spans="1:21" s="1" customFormat="1" ht="45.75">
      <c r="A53" s="38">
        <v>1</v>
      </c>
      <c r="B53" s="23" t="s">
        <v>61</v>
      </c>
      <c r="C53" s="47">
        <v>46.47</v>
      </c>
      <c r="D53" s="78" t="s">
        <v>75</v>
      </c>
      <c r="E53" s="99">
        <v>4700</v>
      </c>
      <c r="F53" s="33">
        <f>E53*C53</f>
        <v>218409</v>
      </c>
      <c r="G53" s="68">
        <v>4700</v>
      </c>
      <c r="H53" s="68"/>
      <c r="I53" s="2">
        <v>500000</v>
      </c>
      <c r="J53" s="47">
        <v>219000</v>
      </c>
      <c r="K53" s="47" t="s">
        <v>210</v>
      </c>
      <c r="L53" s="153" t="s">
        <v>211</v>
      </c>
      <c r="M53" s="47">
        <v>218996.5</v>
      </c>
      <c r="N53" s="47">
        <v>4700</v>
      </c>
      <c r="O53" s="75">
        <v>46.594999999999999</v>
      </c>
      <c r="P53" s="47"/>
      <c r="Q53" s="47">
        <v>3.5</v>
      </c>
      <c r="R53" s="47">
        <v>4700</v>
      </c>
      <c r="S53" s="47">
        <f>R53*O53</f>
        <v>218996.5</v>
      </c>
      <c r="T53" s="47"/>
      <c r="U53" s="47"/>
    </row>
    <row r="54" spans="1:21" s="1" customFormat="1" ht="19.5" customHeight="1">
      <c r="A54" s="38"/>
      <c r="B54" s="23"/>
      <c r="C54" s="4"/>
      <c r="D54" s="4"/>
      <c r="E54" s="108"/>
      <c r="F54" s="126">
        <v>218409</v>
      </c>
      <c r="G54" s="2"/>
      <c r="H54" s="2"/>
      <c r="I54" s="73">
        <v>348600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</row>
    <row r="55" spans="1:21" s="1" customFormat="1">
      <c r="A55" s="8"/>
      <c r="B55" s="128"/>
      <c r="C55" s="129"/>
      <c r="D55" s="129"/>
      <c r="E55" s="130"/>
      <c r="F55" s="133">
        <f>F5+F10+F19+F29+F42+F50+F54</f>
        <v>4666184.5</v>
      </c>
      <c r="G55" s="131"/>
      <c r="H55" s="131"/>
      <c r="I55" s="132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</row>
  </sheetData>
  <mergeCells count="107">
    <mergeCell ref="J12:O12"/>
    <mergeCell ref="P12:Q12"/>
    <mergeCell ref="R12:U12"/>
    <mergeCell ref="O26:O28"/>
    <mergeCell ref="J41:U41"/>
    <mergeCell ref="R51:U51"/>
    <mergeCell ref="A1:G1"/>
    <mergeCell ref="A2:H2"/>
    <mergeCell ref="A7:H7"/>
    <mergeCell ref="A12:H12"/>
    <mergeCell ref="A20:H20"/>
    <mergeCell ref="A31:H31"/>
    <mergeCell ref="A43:H43"/>
    <mergeCell ref="A51:H51"/>
    <mergeCell ref="J45:J46"/>
    <mergeCell ref="R20:U20"/>
    <mergeCell ref="J31:O31"/>
    <mergeCell ref="P31:Q31"/>
    <mergeCell ref="R31:U31"/>
    <mergeCell ref="J43:O43"/>
    <mergeCell ref="P43:Q43"/>
    <mergeCell ref="J51:O51"/>
    <mergeCell ref="P51:Q51"/>
    <mergeCell ref="K45:K46"/>
    <mergeCell ref="L45:L46"/>
    <mergeCell ref="M45:M46"/>
    <mergeCell ref="M48:M49"/>
    <mergeCell ref="J2:O2"/>
    <mergeCell ref="P2:Q2"/>
    <mergeCell ref="J20:O20"/>
    <mergeCell ref="P20:Q20"/>
    <mergeCell ref="J14:U14"/>
    <mergeCell ref="J17:U17"/>
    <mergeCell ref="J18:U18"/>
    <mergeCell ref="Q22:Q23"/>
    <mergeCell ref="P22:P23"/>
    <mergeCell ref="K26:K28"/>
    <mergeCell ref="L26:L28"/>
    <mergeCell ref="M26:M28"/>
    <mergeCell ref="N26:N28"/>
    <mergeCell ref="R43:U43"/>
    <mergeCell ref="R2:U2"/>
    <mergeCell ref="J7:O7"/>
    <mergeCell ref="P7:Q7"/>
    <mergeCell ref="R7:U7"/>
    <mergeCell ref="K22:K23"/>
    <mergeCell ref="L22:L23"/>
    <mergeCell ref="M22:M23"/>
    <mergeCell ref="F15:F16"/>
    <mergeCell ref="G15:G16"/>
    <mergeCell ref="H15:H16"/>
    <mergeCell ref="I15:I16"/>
    <mergeCell ref="F23:F25"/>
    <mergeCell ref="G23:G25"/>
    <mergeCell ref="H23:H25"/>
    <mergeCell ref="A15:A16"/>
    <mergeCell ref="B15:B16"/>
    <mergeCell ref="C15:C16"/>
    <mergeCell ref="D15:D16"/>
    <mergeCell ref="E15:E16"/>
    <mergeCell ref="I23:I25"/>
    <mergeCell ref="J22:J23"/>
    <mergeCell ref="A23:A25"/>
    <mergeCell ref="B23:B25"/>
    <mergeCell ref="C23:C25"/>
    <mergeCell ref="D23:D25"/>
    <mergeCell ref="E23:E25"/>
    <mergeCell ref="F26:F28"/>
    <mergeCell ref="G26:G28"/>
    <mergeCell ref="H26:H28"/>
    <mergeCell ref="I26:I28"/>
    <mergeCell ref="J26:J28"/>
    <mergeCell ref="A26:A28"/>
    <mergeCell ref="B26:B28"/>
    <mergeCell ref="C26:C28"/>
    <mergeCell ref="D26:D28"/>
    <mergeCell ref="E26:E28"/>
    <mergeCell ref="F37:F38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47:F48"/>
    <mergeCell ref="G47:G48"/>
    <mergeCell ref="H47:H48"/>
    <mergeCell ref="I47:I48"/>
    <mergeCell ref="L48:L49"/>
    <mergeCell ref="K48:K49"/>
    <mergeCell ref="J48:J49"/>
    <mergeCell ref="A47:A48"/>
    <mergeCell ref="B47:B48"/>
    <mergeCell ref="C47:C48"/>
    <mergeCell ref="D47:D48"/>
    <mergeCell ref="E47:E4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8"/>
  <sheetViews>
    <sheetView topLeftCell="G4" workbookViewId="0">
      <selection activeCell="T7" sqref="T7"/>
    </sheetView>
  </sheetViews>
  <sheetFormatPr defaultRowHeight="15"/>
  <cols>
    <col min="2" max="2" width="18" customWidth="1"/>
    <col min="4" max="4" width="16.85546875" customWidth="1"/>
    <col min="7" max="7" width="14.7109375" customWidth="1"/>
    <col min="8" max="8" width="12.28515625" customWidth="1"/>
    <col min="9" max="9" width="20.85546875" customWidth="1"/>
    <col min="10" max="10" width="13.42578125" customWidth="1"/>
    <col min="11" max="11" width="14.140625" customWidth="1"/>
    <col min="12" max="13" width="14.140625" style="1" customWidth="1"/>
    <col min="14" max="14" width="9.5703125" bestFit="1" customWidth="1"/>
    <col min="15" max="15" width="11.7109375" bestFit="1" customWidth="1"/>
    <col min="18" max="19" width="9.5703125" bestFit="1" customWidth="1"/>
    <col min="21" max="21" width="9.5703125" bestFit="1" customWidth="1"/>
  </cols>
  <sheetData>
    <row r="1" spans="1:21" s="1" customFormat="1" ht="35.25" customHeight="1">
      <c r="A1" s="460" t="s">
        <v>135</v>
      </c>
      <c r="B1" s="460"/>
      <c r="C1" s="460"/>
      <c r="D1" s="460"/>
      <c r="E1" s="460"/>
      <c r="F1" s="460"/>
      <c r="G1" s="460"/>
      <c r="H1" s="179">
        <v>881200</v>
      </c>
      <c r="I1" s="179">
        <v>36000</v>
      </c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73"/>
    </row>
    <row r="2" spans="1:21" s="1" customFormat="1" ht="37.5" customHeight="1">
      <c r="A2" s="461" t="s">
        <v>136</v>
      </c>
      <c r="B2" s="462"/>
      <c r="C2" s="462"/>
      <c r="D2" s="462"/>
      <c r="E2" s="462"/>
      <c r="F2" s="462"/>
      <c r="G2" s="462"/>
      <c r="H2" s="462"/>
      <c r="I2" s="463"/>
      <c r="J2" s="326" t="s">
        <v>102</v>
      </c>
      <c r="K2" s="327"/>
      <c r="L2" s="327"/>
      <c r="M2" s="327"/>
      <c r="N2" s="327"/>
      <c r="O2" s="328"/>
      <c r="P2" s="329" t="s">
        <v>103</v>
      </c>
      <c r="Q2" s="329"/>
      <c r="R2" s="343" t="s">
        <v>104</v>
      </c>
      <c r="S2" s="343"/>
      <c r="T2" s="343"/>
      <c r="U2" s="343"/>
    </row>
    <row r="3" spans="1:21" s="1" customFormat="1" ht="99.75" customHeight="1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61.5" customHeight="1">
      <c r="A4" s="38">
        <v>1</v>
      </c>
      <c r="B4" s="23" t="s">
        <v>38</v>
      </c>
      <c r="C4" s="57">
        <v>3.5537899999999998</v>
      </c>
      <c r="D4" s="78" t="s">
        <v>78</v>
      </c>
      <c r="E4" s="99">
        <v>110000</v>
      </c>
      <c r="F4" s="33"/>
      <c r="G4" s="68">
        <v>110000</v>
      </c>
      <c r="H4" s="68"/>
      <c r="I4" s="2">
        <f>G4*C4</f>
        <v>390916.89999999997</v>
      </c>
      <c r="J4" s="324">
        <v>696095</v>
      </c>
      <c r="K4" s="324" t="s">
        <v>137</v>
      </c>
      <c r="L4" s="330" t="s">
        <v>138</v>
      </c>
      <c r="M4" s="324">
        <v>696040</v>
      </c>
      <c r="N4" s="47">
        <v>110000</v>
      </c>
      <c r="O4" s="57">
        <v>4.4640000000000004</v>
      </c>
      <c r="P4" s="324">
        <v>0</v>
      </c>
      <c r="Q4" s="324">
        <f>J4-M4</f>
        <v>55</v>
      </c>
      <c r="R4" s="47">
        <v>110000</v>
      </c>
      <c r="S4" s="47">
        <f>R4*O4</f>
        <v>491040.00000000006</v>
      </c>
      <c r="T4" s="47"/>
      <c r="U4" s="47"/>
    </row>
    <row r="5" spans="1:21" s="1" customFormat="1" ht="49.5" customHeight="1">
      <c r="A5" s="38">
        <v>2</v>
      </c>
      <c r="B5" s="23" t="s">
        <v>39</v>
      </c>
      <c r="C5" s="51">
        <v>7.3563460000000003</v>
      </c>
      <c r="D5" s="78" t="s">
        <v>78</v>
      </c>
      <c r="E5" s="99">
        <v>25000</v>
      </c>
      <c r="F5" s="33"/>
      <c r="G5" s="68">
        <v>25000</v>
      </c>
      <c r="H5" s="68"/>
      <c r="I5" s="2">
        <f>G5*C5</f>
        <v>183908.65</v>
      </c>
      <c r="J5" s="325"/>
      <c r="K5" s="325"/>
      <c r="L5" s="331"/>
      <c r="M5" s="325"/>
      <c r="N5" s="47">
        <v>25000</v>
      </c>
      <c r="O5" s="51">
        <v>8.1999999999999993</v>
      </c>
      <c r="P5" s="325"/>
      <c r="Q5" s="325"/>
      <c r="R5" s="47">
        <v>25000</v>
      </c>
      <c r="S5" s="47">
        <f>R5*O5</f>
        <v>204999.99999999997</v>
      </c>
      <c r="T5" s="47"/>
      <c r="U5" s="47"/>
    </row>
    <row r="6" spans="1:21" s="1" customFormat="1" ht="66" customHeight="1">
      <c r="A6" s="420">
        <v>3</v>
      </c>
      <c r="B6" s="376" t="s">
        <v>40</v>
      </c>
      <c r="C6" s="458">
        <v>2.3887999999999998</v>
      </c>
      <c r="D6" s="390" t="s">
        <v>99</v>
      </c>
      <c r="E6" s="392">
        <v>32600</v>
      </c>
      <c r="F6" s="384"/>
      <c r="G6" s="387">
        <v>32600</v>
      </c>
      <c r="H6" s="387"/>
      <c r="I6" s="403">
        <f>G6*C6</f>
        <v>77874.87999999999</v>
      </c>
      <c r="J6" s="47">
        <v>100586</v>
      </c>
      <c r="K6" s="47" t="s">
        <v>140</v>
      </c>
      <c r="L6" s="153" t="s">
        <v>139</v>
      </c>
      <c r="M6" s="47">
        <v>35660.879999999997</v>
      </c>
      <c r="N6" s="47">
        <v>19998</v>
      </c>
      <c r="O6" s="186">
        <v>1.7832222200000001</v>
      </c>
      <c r="P6" s="47"/>
      <c r="Q6" s="47">
        <v>5786.59</v>
      </c>
      <c r="R6" s="47">
        <v>19944</v>
      </c>
      <c r="S6" s="69">
        <f>R6*O6</f>
        <v>35564.583955679998</v>
      </c>
      <c r="T6" s="47">
        <v>54</v>
      </c>
      <c r="U6" s="47">
        <f>T6*O6</f>
        <v>96.293999880000001</v>
      </c>
    </row>
    <row r="7" spans="1:21" s="1" customFormat="1" ht="66" customHeight="1">
      <c r="A7" s="422"/>
      <c r="B7" s="377"/>
      <c r="C7" s="459"/>
      <c r="D7" s="391"/>
      <c r="E7" s="393"/>
      <c r="F7" s="386"/>
      <c r="G7" s="389"/>
      <c r="H7" s="389"/>
      <c r="I7" s="405"/>
      <c r="J7" s="47">
        <v>58204</v>
      </c>
      <c r="K7" s="190" t="s">
        <v>141</v>
      </c>
      <c r="L7" s="153" t="s">
        <v>307</v>
      </c>
      <c r="M7" s="47">
        <v>22229.69</v>
      </c>
      <c r="N7" s="47">
        <v>12654</v>
      </c>
      <c r="O7" s="219">
        <v>1.7567330000000001</v>
      </c>
      <c r="P7" s="47"/>
      <c r="Q7" s="47">
        <v>0</v>
      </c>
      <c r="R7" s="47"/>
      <c r="S7" s="69"/>
      <c r="T7" s="47">
        <v>12654</v>
      </c>
      <c r="U7" s="47">
        <f>T7*O7</f>
        <v>22229.699382000003</v>
      </c>
    </row>
    <row r="8" spans="1:21" s="37" customFormat="1">
      <c r="A8" s="67"/>
      <c r="B8" s="86"/>
      <c r="C8" s="67"/>
      <c r="D8" s="67"/>
      <c r="E8" s="109"/>
      <c r="F8" s="96"/>
      <c r="G8" s="68"/>
      <c r="H8" s="68"/>
      <c r="I8" s="73">
        <v>713600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</sheetData>
  <mergeCells count="20">
    <mergeCell ref="R2:U2"/>
    <mergeCell ref="P4:P5"/>
    <mergeCell ref="Q4:Q5"/>
    <mergeCell ref="P2:Q2"/>
    <mergeCell ref="A1:G1"/>
    <mergeCell ref="L4:L5"/>
    <mergeCell ref="M4:M5"/>
    <mergeCell ref="A2:I2"/>
    <mergeCell ref="J4:J5"/>
    <mergeCell ref="K4:K5"/>
    <mergeCell ref="J2:O2"/>
    <mergeCell ref="I6:I7"/>
    <mergeCell ref="G6:G7"/>
    <mergeCell ref="F6:F7"/>
    <mergeCell ref="H6:H7"/>
    <mergeCell ref="A6:A7"/>
    <mergeCell ref="B6:B7"/>
    <mergeCell ref="C6:C7"/>
    <mergeCell ref="D6:D7"/>
    <mergeCell ref="E6:E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66"/>
  </sheetPr>
  <dimension ref="A1:V16"/>
  <sheetViews>
    <sheetView topLeftCell="G4" workbookViewId="0">
      <selection activeCell="O11" sqref="O11"/>
    </sheetView>
  </sheetViews>
  <sheetFormatPr defaultRowHeight="15"/>
  <cols>
    <col min="2" max="2" width="15.85546875" customWidth="1"/>
    <col min="4" max="4" width="18.5703125" customWidth="1"/>
    <col min="5" max="5" width="11.7109375" customWidth="1"/>
    <col min="6" max="6" width="9.5703125" bestFit="1" customWidth="1"/>
    <col min="7" max="7" width="13.42578125" customWidth="1"/>
    <col min="8" max="8" width="13.7109375" customWidth="1"/>
    <col min="9" max="9" width="17.5703125" customWidth="1"/>
    <col min="10" max="10" width="9.5703125" bestFit="1" customWidth="1"/>
    <col min="11" max="11" width="13.140625" customWidth="1"/>
    <col min="12" max="12" width="12.5703125" style="1" customWidth="1"/>
    <col min="13" max="13" width="11.85546875" style="1" customWidth="1"/>
    <col min="14" max="14" width="10.85546875" bestFit="1" customWidth="1"/>
    <col min="15" max="15" width="12.28515625" customWidth="1"/>
    <col min="18" max="18" width="10.85546875" bestFit="1" customWidth="1"/>
    <col min="19" max="19" width="13" customWidth="1"/>
    <col min="20" max="20" width="10.85546875" bestFit="1" customWidth="1"/>
  </cols>
  <sheetData>
    <row r="1" spans="1:22" s="1" customFormat="1" ht="33.75" customHeight="1">
      <c r="A1" s="464" t="s">
        <v>142</v>
      </c>
      <c r="B1" s="465"/>
      <c r="C1" s="465"/>
      <c r="D1" s="465"/>
      <c r="E1" s="465"/>
      <c r="F1" s="465"/>
      <c r="G1" s="466"/>
      <c r="H1" s="191">
        <v>226000</v>
      </c>
      <c r="I1" s="179">
        <v>42000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  <c r="V1" s="37"/>
    </row>
    <row r="2" spans="1:22" s="1" customFormat="1" ht="28.5" customHeight="1">
      <c r="A2" s="467" t="s">
        <v>143</v>
      </c>
      <c r="B2" s="467"/>
      <c r="C2" s="467"/>
      <c r="D2" s="467"/>
      <c r="E2" s="467"/>
      <c r="F2" s="467"/>
      <c r="G2" s="467"/>
      <c r="H2" s="467">
        <v>34000</v>
      </c>
      <c r="I2" s="467"/>
      <c r="J2" s="326" t="s">
        <v>102</v>
      </c>
      <c r="K2" s="327"/>
      <c r="L2" s="327"/>
      <c r="M2" s="327"/>
      <c r="N2" s="327"/>
      <c r="O2" s="328"/>
      <c r="P2" s="329" t="s">
        <v>103</v>
      </c>
      <c r="Q2" s="329"/>
      <c r="R2" s="343" t="s">
        <v>104</v>
      </c>
      <c r="S2" s="343"/>
      <c r="T2" s="343"/>
      <c r="U2" s="343"/>
    </row>
    <row r="3" spans="1:22" s="1" customFormat="1" ht="90">
      <c r="A3" s="15" t="s">
        <v>0</v>
      </c>
      <c r="B3" s="16" t="s">
        <v>1</v>
      </c>
      <c r="C3" s="5" t="s">
        <v>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2" s="1" customFormat="1" ht="48.75" customHeight="1">
      <c r="A4" s="468">
        <v>1</v>
      </c>
      <c r="B4" s="470" t="s">
        <v>43</v>
      </c>
      <c r="C4" s="472">
        <v>8.3199999999999993E-3</v>
      </c>
      <c r="D4" s="390" t="s">
        <v>82</v>
      </c>
      <c r="E4" s="192">
        <v>190000</v>
      </c>
      <c r="F4" s="185"/>
      <c r="G4" s="387">
        <v>1701370</v>
      </c>
      <c r="H4" s="474">
        <v>1.332E-2</v>
      </c>
      <c r="I4" s="403">
        <f>H4*G4</f>
        <v>22662.2484</v>
      </c>
      <c r="J4" s="47">
        <v>2531</v>
      </c>
      <c r="K4" s="47" t="s">
        <v>145</v>
      </c>
      <c r="L4" s="153" t="s">
        <v>146</v>
      </c>
      <c r="M4" s="47">
        <v>2530.8000000000002</v>
      </c>
      <c r="N4" s="47">
        <v>190020</v>
      </c>
      <c r="O4" s="188">
        <v>1.33185E-2</v>
      </c>
      <c r="P4" s="47"/>
      <c r="Q4" s="47">
        <v>0.2</v>
      </c>
      <c r="R4" s="47">
        <v>190020</v>
      </c>
      <c r="S4" s="47">
        <f>R4*O4</f>
        <v>2530.7813700000002</v>
      </c>
      <c r="T4" s="47"/>
      <c r="U4" s="47"/>
    </row>
    <row r="5" spans="1:22" s="1" customFormat="1" ht="39.75" customHeight="1">
      <c r="A5" s="469"/>
      <c r="B5" s="471"/>
      <c r="C5" s="473"/>
      <c r="D5" s="391"/>
      <c r="E5" s="192">
        <v>1511370</v>
      </c>
      <c r="F5" s="185"/>
      <c r="G5" s="389"/>
      <c r="H5" s="475"/>
      <c r="I5" s="405"/>
      <c r="J5" s="47">
        <v>20131</v>
      </c>
      <c r="K5" s="47" t="s">
        <v>147</v>
      </c>
      <c r="L5" s="193" t="s">
        <v>148</v>
      </c>
      <c r="M5" s="47">
        <v>20131</v>
      </c>
      <c r="N5" s="47">
        <v>1511370</v>
      </c>
      <c r="O5" s="189">
        <v>1.3319703E-2</v>
      </c>
      <c r="P5" s="47"/>
      <c r="Q5" s="47"/>
      <c r="R5" s="47">
        <v>1511370</v>
      </c>
      <c r="S5" s="47">
        <f>R5*O5</f>
        <v>20130.99952311</v>
      </c>
      <c r="T5" s="47"/>
      <c r="U5" s="47"/>
    </row>
    <row r="6" spans="1:22" s="1" customFormat="1" ht="51.75" customHeight="1">
      <c r="A6" s="17">
        <v>2</v>
      </c>
      <c r="B6" s="36" t="s">
        <v>44</v>
      </c>
      <c r="C6" s="19">
        <v>0.11020000000000001</v>
      </c>
      <c r="D6" s="78" t="s">
        <v>80</v>
      </c>
      <c r="E6" s="99">
        <v>75000</v>
      </c>
      <c r="F6" s="33">
        <f>E6*C6</f>
        <v>8265</v>
      </c>
      <c r="G6" s="68">
        <v>75000</v>
      </c>
      <c r="H6" s="135">
        <v>0.41360000000000002</v>
      </c>
      <c r="I6" s="2">
        <f>H6*G6</f>
        <v>31020</v>
      </c>
      <c r="J6" s="47">
        <v>11349</v>
      </c>
      <c r="K6" s="47" t="s">
        <v>149</v>
      </c>
      <c r="L6" s="153" t="s">
        <v>150</v>
      </c>
      <c r="M6" s="47">
        <v>11340</v>
      </c>
      <c r="N6" s="47">
        <v>75000</v>
      </c>
      <c r="O6" s="186">
        <v>0.1512</v>
      </c>
      <c r="P6" s="47"/>
      <c r="Q6" s="47">
        <v>9</v>
      </c>
      <c r="R6" s="47">
        <v>60000</v>
      </c>
      <c r="S6" s="47">
        <f>R6*O6</f>
        <v>9072</v>
      </c>
      <c r="T6" s="47">
        <f>N6-R6</f>
        <v>15000</v>
      </c>
      <c r="U6" s="2">
        <f>T6*O6</f>
        <v>2268</v>
      </c>
    </row>
    <row r="7" spans="1:22" s="1" customFormat="1">
      <c r="B7" s="82"/>
      <c r="E7" s="97"/>
      <c r="F7" s="89"/>
      <c r="G7" s="46"/>
      <c r="H7" s="46"/>
      <c r="I7" s="73">
        <f>SUM(I4:I6)</f>
        <v>53682.248399999997</v>
      </c>
      <c r="J7" s="46"/>
      <c r="K7" s="46"/>
      <c r="L7" s="46"/>
      <c r="M7" s="46"/>
      <c r="N7" s="46"/>
      <c r="O7" s="46"/>
      <c r="P7" s="46"/>
      <c r="Q7" s="46"/>
      <c r="R7" s="46"/>
      <c r="S7" s="46">
        <f>SUM(S4:S6)</f>
        <v>31733.780893110001</v>
      </c>
      <c r="T7" s="46"/>
      <c r="U7" s="46"/>
    </row>
    <row r="9" spans="1:22">
      <c r="A9" s="467" t="s">
        <v>144</v>
      </c>
      <c r="B9" s="467"/>
      <c r="C9" s="467"/>
      <c r="D9" s="467"/>
      <c r="E9" s="467"/>
      <c r="F9" s="467"/>
      <c r="G9" s="467"/>
      <c r="H9" s="467">
        <v>150000</v>
      </c>
      <c r="I9" s="467"/>
      <c r="J9" s="326" t="s">
        <v>102</v>
      </c>
      <c r="K9" s="327"/>
      <c r="L9" s="327"/>
      <c r="M9" s="327"/>
      <c r="N9" s="327"/>
      <c r="O9" s="328"/>
      <c r="P9" s="329" t="s">
        <v>103</v>
      </c>
      <c r="Q9" s="329"/>
      <c r="R9" s="343" t="s">
        <v>104</v>
      </c>
      <c r="S9" s="343"/>
      <c r="T9" s="343"/>
      <c r="U9" s="343"/>
    </row>
    <row r="10" spans="1:22" ht="90">
      <c r="A10" s="15" t="s">
        <v>0</v>
      </c>
      <c r="B10" s="16" t="s">
        <v>1</v>
      </c>
      <c r="C10" s="5" t="s">
        <v>2</v>
      </c>
      <c r="D10" s="5" t="s">
        <v>73</v>
      </c>
      <c r="E10" s="98" t="s">
        <v>154</v>
      </c>
      <c r="F10" s="90" t="s">
        <v>93</v>
      </c>
      <c r="G10" s="62" t="s">
        <v>89</v>
      </c>
      <c r="H10" s="62" t="s">
        <v>97</v>
      </c>
      <c r="I10" s="62" t="s">
        <v>94</v>
      </c>
      <c r="J10" s="143" t="s">
        <v>109</v>
      </c>
      <c r="K10" s="143" t="s">
        <v>107</v>
      </c>
      <c r="L10" s="143" t="s">
        <v>100</v>
      </c>
      <c r="M10" s="143" t="s">
        <v>46</v>
      </c>
      <c r="N10" s="145" t="s">
        <v>47</v>
      </c>
      <c r="O10" s="143" t="s">
        <v>101</v>
      </c>
      <c r="P10" s="42" t="s">
        <v>53</v>
      </c>
      <c r="Q10" s="42" t="s">
        <v>48</v>
      </c>
      <c r="R10" s="43" t="s">
        <v>49</v>
      </c>
      <c r="S10" s="44" t="s">
        <v>50</v>
      </c>
      <c r="T10" s="43" t="s">
        <v>51</v>
      </c>
      <c r="U10" s="44" t="s">
        <v>50</v>
      </c>
    </row>
    <row r="11" spans="1:22" ht="34.5">
      <c r="A11" s="17">
        <v>1</v>
      </c>
      <c r="B11" s="35" t="s">
        <v>152</v>
      </c>
      <c r="C11" s="194" t="s">
        <v>151</v>
      </c>
      <c r="D11" s="196" t="s">
        <v>156</v>
      </c>
      <c r="E11" s="99">
        <v>2340000</v>
      </c>
      <c r="F11" s="33">
        <v>156000</v>
      </c>
      <c r="G11" s="68"/>
      <c r="H11" s="136"/>
      <c r="I11" s="2"/>
      <c r="J11" s="47">
        <v>120120</v>
      </c>
      <c r="K11" s="47" t="s">
        <v>288</v>
      </c>
      <c r="L11" s="47" t="s">
        <v>153</v>
      </c>
      <c r="M11" s="47">
        <v>50388</v>
      </c>
      <c r="N11" s="47">
        <v>78000</v>
      </c>
      <c r="O11" s="75">
        <v>0.64600000000000002</v>
      </c>
      <c r="P11" s="47">
        <f>F11-J11</f>
        <v>35880</v>
      </c>
      <c r="Q11" s="47">
        <v>0</v>
      </c>
      <c r="R11" s="47">
        <v>78000</v>
      </c>
      <c r="S11" s="47">
        <v>50388</v>
      </c>
      <c r="T11" s="47"/>
      <c r="U11" s="47"/>
    </row>
    <row r="16" spans="1:22">
      <c r="A16" s="1"/>
      <c r="B16" s="350" t="s">
        <v>155</v>
      </c>
      <c r="C16" s="350"/>
      <c r="D16" s="350"/>
      <c r="E16" s="350"/>
      <c r="F16" s="350"/>
      <c r="G16" s="350"/>
      <c r="H16" s="350"/>
      <c r="I16" s="350"/>
      <c r="J16" s="1"/>
    </row>
  </sheetData>
  <mergeCells count="19">
    <mergeCell ref="B16:I16"/>
    <mergeCell ref="A9:G9"/>
    <mergeCell ref="H9:I9"/>
    <mergeCell ref="J9:O9"/>
    <mergeCell ref="P9:Q9"/>
    <mergeCell ref="R9:U9"/>
    <mergeCell ref="A4:A5"/>
    <mergeCell ref="B4:B5"/>
    <mergeCell ref="C4:C5"/>
    <mergeCell ref="D4:D5"/>
    <mergeCell ref="G4:G5"/>
    <mergeCell ref="H4:H5"/>
    <mergeCell ref="I4:I5"/>
    <mergeCell ref="J2:O2"/>
    <mergeCell ref="P2:Q2"/>
    <mergeCell ref="R2:U2"/>
    <mergeCell ref="A1:G1"/>
    <mergeCell ref="H2:I2"/>
    <mergeCell ref="A2:G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35"/>
  <sheetViews>
    <sheetView topLeftCell="F7" workbookViewId="0">
      <selection activeCell="P11" sqref="P11"/>
    </sheetView>
  </sheetViews>
  <sheetFormatPr defaultRowHeight="15"/>
  <cols>
    <col min="2" max="2" width="19.5703125" customWidth="1"/>
    <col min="3" max="3" width="10.7109375" customWidth="1"/>
    <col min="4" max="4" width="13.85546875" customWidth="1"/>
    <col min="7" max="7" width="13" customWidth="1"/>
    <col min="8" max="8" width="13.140625" customWidth="1"/>
    <col min="9" max="9" width="14.42578125" customWidth="1"/>
    <col min="10" max="10" width="15.140625" customWidth="1"/>
    <col min="11" max="11" width="12.140625" customWidth="1"/>
    <col min="12" max="12" width="12.42578125" customWidth="1"/>
    <col min="13" max="13" width="13.85546875" customWidth="1"/>
    <col min="14" max="14" width="12.140625" customWidth="1"/>
    <col min="15" max="15" width="12.85546875" customWidth="1"/>
  </cols>
  <sheetData>
    <row r="1" spans="1:21" s="1" customFormat="1"/>
    <row r="2" spans="1:21" ht="76.5" customHeight="1">
      <c r="A2" s="460" t="s">
        <v>188</v>
      </c>
      <c r="B2" s="460"/>
      <c r="C2" s="460"/>
      <c r="D2" s="460"/>
      <c r="E2" s="460"/>
      <c r="F2" s="460"/>
      <c r="G2" s="460"/>
      <c r="H2" s="345">
        <v>12500000</v>
      </c>
      <c r="I2" s="345"/>
      <c r="J2" s="326" t="s">
        <v>102</v>
      </c>
      <c r="K2" s="327"/>
      <c r="L2" s="327"/>
      <c r="M2" s="327"/>
      <c r="N2" s="327"/>
      <c r="O2" s="328"/>
      <c r="P2" s="329" t="s">
        <v>103</v>
      </c>
      <c r="Q2" s="329"/>
      <c r="R2" s="343" t="s">
        <v>104</v>
      </c>
      <c r="S2" s="343"/>
      <c r="T2" s="343"/>
      <c r="U2" s="343"/>
    </row>
    <row r="3" spans="1:21" ht="123.7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34.5">
      <c r="A4" s="355">
        <v>1</v>
      </c>
      <c r="B4" s="200" t="s">
        <v>189</v>
      </c>
      <c r="C4" s="45"/>
      <c r="D4" s="200" t="s">
        <v>194</v>
      </c>
      <c r="E4" s="45"/>
      <c r="F4" s="45"/>
      <c r="G4" s="65">
        <v>400</v>
      </c>
      <c r="H4" s="65"/>
      <c r="I4" s="65"/>
      <c r="J4" s="479" t="s">
        <v>198</v>
      </c>
      <c r="K4" s="358">
        <v>160007247</v>
      </c>
      <c r="L4" s="361" t="s">
        <v>196</v>
      </c>
      <c r="M4" s="358">
        <v>787151</v>
      </c>
      <c r="N4" s="65">
        <v>400</v>
      </c>
      <c r="O4" s="65">
        <v>34.074966760000002</v>
      </c>
      <c r="P4" s="476">
        <v>0</v>
      </c>
      <c r="Q4" s="358">
        <v>771602</v>
      </c>
      <c r="R4" s="65">
        <v>400</v>
      </c>
      <c r="S4" s="65">
        <f>R4*O4</f>
        <v>13629.986704000001</v>
      </c>
      <c r="T4" s="65">
        <f>N4-R4</f>
        <v>0</v>
      </c>
      <c r="U4" s="65">
        <f>T4*O4</f>
        <v>0</v>
      </c>
    </row>
    <row r="5" spans="1:21" s="1" customFormat="1" ht="34.5">
      <c r="A5" s="356"/>
      <c r="B5" s="200" t="s">
        <v>190</v>
      </c>
      <c r="C5" s="45"/>
      <c r="D5" s="200" t="s">
        <v>194</v>
      </c>
      <c r="E5" s="45"/>
      <c r="F5" s="45"/>
      <c r="G5" s="65">
        <v>3700</v>
      </c>
      <c r="H5" s="65"/>
      <c r="I5" s="65"/>
      <c r="J5" s="480"/>
      <c r="K5" s="359"/>
      <c r="L5" s="362"/>
      <c r="M5" s="359"/>
      <c r="N5" s="65">
        <v>3700</v>
      </c>
      <c r="O5" s="65">
        <v>34.074966760000002</v>
      </c>
      <c r="P5" s="477"/>
      <c r="Q5" s="359"/>
      <c r="R5" s="65">
        <v>1900</v>
      </c>
      <c r="S5" s="65">
        <f t="shared" ref="S5:S9" si="0">R5*O5</f>
        <v>64742.436844000003</v>
      </c>
      <c r="T5" s="65">
        <f t="shared" ref="T5:T8" si="1">N5-R5</f>
        <v>1800</v>
      </c>
      <c r="U5" s="65">
        <f t="shared" ref="U5:U9" si="2">T5*O5</f>
        <v>61334.940168000001</v>
      </c>
    </row>
    <row r="6" spans="1:21" s="1" customFormat="1" ht="34.5">
      <c r="A6" s="356"/>
      <c r="B6" s="201" t="s">
        <v>191</v>
      </c>
      <c r="C6" s="45"/>
      <c r="D6" s="200" t="s">
        <v>194</v>
      </c>
      <c r="E6" s="45"/>
      <c r="F6" s="45"/>
      <c r="G6" s="65">
        <v>1500</v>
      </c>
      <c r="H6" s="65"/>
      <c r="I6" s="65"/>
      <c r="J6" s="480"/>
      <c r="K6" s="359"/>
      <c r="L6" s="362"/>
      <c r="M6" s="359"/>
      <c r="N6" s="65">
        <v>1500</v>
      </c>
      <c r="O6" s="65">
        <v>34.074966760000002</v>
      </c>
      <c r="P6" s="477"/>
      <c r="Q6" s="359"/>
      <c r="R6" s="65">
        <v>1200</v>
      </c>
      <c r="S6" s="65">
        <f t="shared" si="0"/>
        <v>40889.960112000001</v>
      </c>
      <c r="T6" s="65">
        <f t="shared" si="1"/>
        <v>300</v>
      </c>
      <c r="U6" s="65">
        <f t="shared" si="2"/>
        <v>10222.490028</v>
      </c>
    </row>
    <row r="7" spans="1:21" s="1" customFormat="1" ht="34.5">
      <c r="A7" s="357"/>
      <c r="B7" s="200" t="s">
        <v>192</v>
      </c>
      <c r="C7" s="45"/>
      <c r="D7" s="200" t="s">
        <v>194</v>
      </c>
      <c r="E7" s="45"/>
      <c r="F7" s="45"/>
      <c r="G7" s="65">
        <v>4900</v>
      </c>
      <c r="H7" s="65"/>
      <c r="I7" s="65"/>
      <c r="J7" s="480"/>
      <c r="K7" s="359"/>
      <c r="L7" s="362"/>
      <c r="M7" s="359"/>
      <c r="N7" s="65">
        <v>4900</v>
      </c>
      <c r="O7" s="65">
        <v>34.074966760000002</v>
      </c>
      <c r="P7" s="477"/>
      <c r="Q7" s="359"/>
      <c r="R7" s="65">
        <v>3500</v>
      </c>
      <c r="S7" s="65">
        <f t="shared" si="0"/>
        <v>119262.38366000001</v>
      </c>
      <c r="T7" s="65">
        <f t="shared" si="1"/>
        <v>1400</v>
      </c>
      <c r="U7" s="65">
        <f t="shared" si="2"/>
        <v>47704.953464000006</v>
      </c>
    </row>
    <row r="8" spans="1:21" s="1" customFormat="1" ht="34.5">
      <c r="A8" s="355">
        <v>2</v>
      </c>
      <c r="B8" s="200" t="s">
        <v>193</v>
      </c>
      <c r="C8" s="45"/>
      <c r="D8" s="200" t="s">
        <v>194</v>
      </c>
      <c r="E8" s="45"/>
      <c r="F8" s="45"/>
      <c r="G8" s="65">
        <v>441000</v>
      </c>
      <c r="H8" s="65"/>
      <c r="I8" s="65"/>
      <c r="J8" s="481"/>
      <c r="K8" s="360"/>
      <c r="L8" s="363"/>
      <c r="M8" s="360"/>
      <c r="N8" s="65">
        <v>441000</v>
      </c>
      <c r="O8" s="65">
        <v>0</v>
      </c>
      <c r="P8" s="478"/>
      <c r="Q8" s="360"/>
      <c r="R8" s="65">
        <v>359680</v>
      </c>
      <c r="S8" s="65">
        <f t="shared" si="0"/>
        <v>0</v>
      </c>
      <c r="T8" s="65">
        <f t="shared" si="1"/>
        <v>81320</v>
      </c>
      <c r="U8" s="65">
        <f t="shared" si="2"/>
        <v>0</v>
      </c>
    </row>
    <row r="9" spans="1:21" ht="34.5">
      <c r="A9" s="357"/>
      <c r="B9" s="200" t="s">
        <v>67</v>
      </c>
      <c r="C9" s="45"/>
      <c r="D9" s="200" t="s">
        <v>194</v>
      </c>
      <c r="E9" s="45"/>
      <c r="F9" s="45"/>
      <c r="G9" s="65">
        <v>6859000</v>
      </c>
      <c r="H9" s="65"/>
      <c r="I9" s="65"/>
      <c r="J9" s="204" t="s">
        <v>195</v>
      </c>
      <c r="K9" s="203">
        <v>160007245</v>
      </c>
      <c r="L9" s="200" t="s">
        <v>197</v>
      </c>
      <c r="M9" s="202">
        <v>582939.65960000001</v>
      </c>
      <c r="N9" s="65">
        <v>6859000</v>
      </c>
      <c r="O9" s="205">
        <v>8.4989015840000001E-2</v>
      </c>
      <c r="P9" s="65"/>
      <c r="Q9" s="65">
        <v>778189</v>
      </c>
      <c r="R9" s="65">
        <v>4285996</v>
      </c>
      <c r="S9" s="65">
        <f t="shared" si="0"/>
        <v>364262.58193417662</v>
      </c>
      <c r="T9" s="65">
        <f>N9-R9</f>
        <v>2573004</v>
      </c>
      <c r="U9" s="65">
        <f t="shared" si="2"/>
        <v>218677.07771238335</v>
      </c>
    </row>
    <row r="10" spans="1:21"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1"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>
        <v>986916</v>
      </c>
      <c r="S11" s="66"/>
      <c r="T11" s="66"/>
      <c r="U11" s="66"/>
    </row>
    <row r="12" spans="1:21"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1"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spans="1:21"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7:21"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7:21"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7:21"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7:21"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7:21"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7:21"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7:21"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7:21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7:21"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7:21"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7:21"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7:21"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7:21"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  <row r="30" spans="7:21"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  <row r="31" spans="7:21"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7:21"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</row>
    <row r="33" spans="7:21"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7:21"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7:21"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</sheetData>
  <mergeCells count="13">
    <mergeCell ref="R2:U2"/>
    <mergeCell ref="A4:A7"/>
    <mergeCell ref="Q4:Q8"/>
    <mergeCell ref="P4:P8"/>
    <mergeCell ref="A2:G2"/>
    <mergeCell ref="H2:I2"/>
    <mergeCell ref="J2:O2"/>
    <mergeCell ref="P2:Q2"/>
    <mergeCell ref="A8:A9"/>
    <mergeCell ref="J4:J8"/>
    <mergeCell ref="K4:K8"/>
    <mergeCell ref="L4:L8"/>
    <mergeCell ref="M4:M8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workbookViewId="0">
      <selection activeCell="H19" sqref="H19"/>
    </sheetView>
  </sheetViews>
  <sheetFormatPr defaultRowHeight="15"/>
  <cols>
    <col min="1" max="1" width="27" customWidth="1"/>
    <col min="2" max="2" width="14.85546875" style="1" customWidth="1"/>
    <col min="3" max="3" width="14" style="1" customWidth="1"/>
    <col min="4" max="4" width="27" style="1" customWidth="1"/>
    <col min="5" max="5" width="17.28515625" style="1" customWidth="1"/>
    <col min="6" max="6" width="18.5703125" style="1" customWidth="1"/>
    <col min="7" max="7" width="11.28515625" style="1" customWidth="1"/>
    <col min="8" max="8" width="12.85546875" style="1" customWidth="1"/>
    <col min="9" max="9" width="14.140625" customWidth="1"/>
    <col min="10" max="10" width="16.5703125" customWidth="1"/>
    <col min="11" max="11" width="11.5703125" customWidth="1"/>
  </cols>
  <sheetData>
    <row r="1" spans="1:11" s="1" customFormat="1" ht="70.5" customHeight="1">
      <c r="A1" s="225" t="s">
        <v>291</v>
      </c>
      <c r="B1" s="225" t="s">
        <v>311</v>
      </c>
      <c r="C1" s="226" t="s">
        <v>324</v>
      </c>
      <c r="D1" s="226" t="s">
        <v>313</v>
      </c>
      <c r="E1" s="226" t="s">
        <v>314</v>
      </c>
      <c r="F1" s="226" t="s">
        <v>312</v>
      </c>
      <c r="G1" s="226" t="s">
        <v>325</v>
      </c>
      <c r="H1" s="226" t="s">
        <v>293</v>
      </c>
      <c r="I1" s="225" t="s">
        <v>292</v>
      </c>
      <c r="J1" s="225" t="s">
        <v>293</v>
      </c>
    </row>
    <row r="2" spans="1:11">
      <c r="A2" s="45" t="s">
        <v>289</v>
      </c>
      <c r="B2" s="45">
        <v>6050200</v>
      </c>
      <c r="C2" s="45">
        <v>6838839.8600000003</v>
      </c>
      <c r="D2" s="45"/>
      <c r="E2" s="45"/>
      <c r="F2" s="45">
        <v>976869.6</v>
      </c>
      <c r="G2" s="45">
        <f>B2-C2</f>
        <v>-788639.86000000034</v>
      </c>
      <c r="H2" s="45"/>
      <c r="I2" s="225">
        <v>450000</v>
      </c>
      <c r="J2" s="225"/>
      <c r="K2">
        <v>297519.38</v>
      </c>
    </row>
    <row r="3" spans="1:11">
      <c r="A3" s="45" t="s">
        <v>290</v>
      </c>
      <c r="B3" s="45">
        <v>251800</v>
      </c>
      <c r="C3" s="45">
        <v>95000</v>
      </c>
      <c r="D3" s="45">
        <v>66500</v>
      </c>
      <c r="E3" s="45">
        <v>28500</v>
      </c>
      <c r="F3" s="45">
        <v>0</v>
      </c>
      <c r="G3" s="45">
        <f t="shared" ref="G3:G15" si="0">B3-C3</f>
        <v>156800</v>
      </c>
      <c r="H3" s="45"/>
      <c r="I3" s="225"/>
      <c r="J3" s="225">
        <v>156800</v>
      </c>
    </row>
    <row r="4" spans="1:11">
      <c r="A4" s="45" t="s">
        <v>294</v>
      </c>
      <c r="B4" s="45">
        <v>184000</v>
      </c>
      <c r="C4" s="45">
        <v>154121.79999999999</v>
      </c>
      <c r="D4" s="45"/>
      <c r="E4" s="45">
        <v>154163.79999999999</v>
      </c>
      <c r="F4" s="45">
        <v>2268</v>
      </c>
      <c r="G4" s="45">
        <f t="shared" si="0"/>
        <v>29878.200000000012</v>
      </c>
      <c r="H4" s="45"/>
      <c r="I4" s="225"/>
      <c r="J4" s="225">
        <v>20700</v>
      </c>
    </row>
    <row r="5" spans="1:11">
      <c r="A5" s="45" t="s">
        <v>41</v>
      </c>
      <c r="B5" s="45">
        <v>881200</v>
      </c>
      <c r="C5" s="45">
        <v>846555.48199999996</v>
      </c>
      <c r="D5" s="45"/>
      <c r="E5" s="45">
        <v>0</v>
      </c>
      <c r="F5" s="45">
        <v>58150.64</v>
      </c>
      <c r="G5" s="45">
        <f t="shared" si="0"/>
        <v>34644.51800000004</v>
      </c>
      <c r="H5" s="45"/>
      <c r="I5" s="225"/>
      <c r="J5" s="225">
        <v>30000</v>
      </c>
    </row>
    <row r="6" spans="1:11">
      <c r="A6" s="45" t="s">
        <v>295</v>
      </c>
      <c r="B6" s="45">
        <v>847000</v>
      </c>
      <c r="C6" s="45">
        <v>580271.87</v>
      </c>
      <c r="D6" s="45"/>
      <c r="E6" s="45">
        <v>110134.8</v>
      </c>
      <c r="F6" s="45">
        <v>47580</v>
      </c>
      <c r="G6" s="45">
        <f t="shared" si="0"/>
        <v>266728.13</v>
      </c>
      <c r="H6" s="45"/>
      <c r="I6" s="225"/>
      <c r="J6" s="225">
        <v>230000</v>
      </c>
    </row>
    <row r="7" spans="1:11">
      <c r="A7" s="45" t="s">
        <v>296</v>
      </c>
      <c r="B7" s="45">
        <v>17923000</v>
      </c>
      <c r="C7" s="228"/>
      <c r="D7" s="228"/>
      <c r="E7" s="228"/>
      <c r="F7" s="228"/>
      <c r="G7" s="45">
        <f t="shared" si="0"/>
        <v>17923000</v>
      </c>
      <c r="H7" s="45"/>
      <c r="I7" s="225"/>
      <c r="J7" s="225">
        <v>200000</v>
      </c>
    </row>
    <row r="8" spans="1:11">
      <c r="A8" s="45" t="s">
        <v>297</v>
      </c>
      <c r="B8" s="45">
        <v>642000</v>
      </c>
      <c r="C8" s="45">
        <v>247406.24</v>
      </c>
      <c r="D8" s="45"/>
      <c r="E8" s="45">
        <v>70859.179999999993</v>
      </c>
      <c r="F8" s="45">
        <v>70804.509999999995</v>
      </c>
      <c r="G8" s="45">
        <f t="shared" si="0"/>
        <v>394593.76</v>
      </c>
      <c r="H8" s="45"/>
      <c r="I8" s="225"/>
      <c r="J8" s="225">
        <v>270000</v>
      </c>
    </row>
    <row r="9" spans="1:11">
      <c r="A9" s="45" t="s">
        <v>298</v>
      </c>
      <c r="B9" s="45">
        <v>521000</v>
      </c>
      <c r="C9" s="45">
        <v>474364.79</v>
      </c>
      <c r="D9" s="45"/>
      <c r="E9" s="67">
        <v>46617</v>
      </c>
      <c r="F9" s="45"/>
      <c r="G9" s="45">
        <f t="shared" si="0"/>
        <v>46635.210000000021</v>
      </c>
      <c r="H9" s="45"/>
      <c r="I9" s="225"/>
      <c r="J9" s="225">
        <v>30000</v>
      </c>
    </row>
    <row r="10" spans="1:11">
      <c r="A10" s="45" t="s">
        <v>299</v>
      </c>
      <c r="B10" s="45">
        <v>219000</v>
      </c>
      <c r="C10" s="45">
        <v>218996.5</v>
      </c>
      <c r="D10" s="45"/>
      <c r="E10" s="45">
        <v>0</v>
      </c>
      <c r="F10" s="45">
        <v>0</v>
      </c>
      <c r="G10" s="45">
        <f t="shared" si="0"/>
        <v>3.5</v>
      </c>
      <c r="H10" s="45"/>
      <c r="I10" s="225"/>
      <c r="J10" s="225">
        <v>0</v>
      </c>
    </row>
    <row r="11" spans="1:11">
      <c r="A11" s="45" t="s">
        <v>300</v>
      </c>
      <c r="B11" s="45">
        <v>3786500</v>
      </c>
      <c r="C11" s="45">
        <v>3261467.4</v>
      </c>
      <c r="D11" s="45"/>
      <c r="E11" s="45">
        <v>338582.24</v>
      </c>
      <c r="F11" s="45">
        <v>577740</v>
      </c>
      <c r="G11" s="45">
        <f t="shared" si="0"/>
        <v>525032.60000000009</v>
      </c>
      <c r="H11" s="45"/>
      <c r="I11" s="225"/>
      <c r="J11" s="225">
        <v>490000</v>
      </c>
    </row>
    <row r="12" spans="1:11">
      <c r="A12" s="45" t="s">
        <v>301</v>
      </c>
      <c r="B12" s="45">
        <v>320000</v>
      </c>
      <c r="C12" s="45">
        <v>303547.78999999998</v>
      </c>
      <c r="D12" s="45"/>
      <c r="E12" s="45">
        <v>125479.24</v>
      </c>
      <c r="F12" s="45">
        <v>136903.81</v>
      </c>
      <c r="G12" s="45">
        <f t="shared" si="0"/>
        <v>16452.210000000021</v>
      </c>
      <c r="H12" s="45"/>
      <c r="I12" s="225"/>
      <c r="J12" s="225">
        <v>15000</v>
      </c>
    </row>
    <row r="13" spans="1:11">
      <c r="A13" s="45" t="s">
        <v>302</v>
      </c>
      <c r="B13" s="45">
        <v>358500</v>
      </c>
      <c r="C13" s="45">
        <v>354223.2</v>
      </c>
      <c r="D13" s="45"/>
      <c r="E13" s="45">
        <v>0</v>
      </c>
      <c r="F13" s="45">
        <v>146800</v>
      </c>
      <c r="G13" s="45">
        <f t="shared" si="0"/>
        <v>4276.7999999999884</v>
      </c>
      <c r="H13" s="45"/>
      <c r="I13" s="225"/>
      <c r="J13" s="225">
        <v>0</v>
      </c>
    </row>
    <row r="14" spans="1:11">
      <c r="A14" s="45" t="s">
        <v>303</v>
      </c>
      <c r="B14" s="45">
        <v>61000</v>
      </c>
      <c r="C14" s="45">
        <v>58190</v>
      </c>
      <c r="D14" s="45"/>
      <c r="E14" s="45">
        <v>0</v>
      </c>
      <c r="F14" s="45">
        <v>42320</v>
      </c>
      <c r="G14" s="45">
        <f t="shared" si="0"/>
        <v>2810</v>
      </c>
      <c r="H14" s="45"/>
      <c r="I14" s="225"/>
      <c r="J14" s="225">
        <v>0</v>
      </c>
    </row>
    <row r="15" spans="1:11">
      <c r="A15" s="45" t="s">
        <v>304</v>
      </c>
      <c r="B15" s="45">
        <v>48000</v>
      </c>
      <c r="C15" s="45">
        <v>43900</v>
      </c>
      <c r="D15" s="45">
        <v>0</v>
      </c>
      <c r="E15" s="45">
        <v>43900</v>
      </c>
      <c r="F15" s="45">
        <v>0</v>
      </c>
      <c r="G15" s="45">
        <f t="shared" si="0"/>
        <v>4100</v>
      </c>
      <c r="H15" s="45"/>
      <c r="I15" s="225"/>
      <c r="J15" s="225">
        <v>4000</v>
      </c>
    </row>
    <row r="16" spans="1:11">
      <c r="A16" s="218" t="s">
        <v>59</v>
      </c>
      <c r="B16" s="218"/>
      <c r="C16" s="218"/>
      <c r="D16" s="218"/>
      <c r="E16" s="218"/>
      <c r="F16" s="218"/>
      <c r="G16" s="218"/>
      <c r="H16" s="218"/>
      <c r="I16" s="227">
        <f>SUM(I2:I15)</f>
        <v>450000</v>
      </c>
      <c r="J16" s="227">
        <f>SUM(J3:J15)</f>
        <v>1446500</v>
      </c>
    </row>
    <row r="19" spans="1:4">
      <c r="A19" t="s">
        <v>315</v>
      </c>
    </row>
    <row r="20" spans="1:4">
      <c r="A20" t="s">
        <v>316</v>
      </c>
    </row>
    <row r="22" spans="1:4">
      <c r="A22" t="s">
        <v>317</v>
      </c>
      <c r="B22" s="1" t="s">
        <v>321</v>
      </c>
      <c r="D22" s="1" t="s">
        <v>320</v>
      </c>
    </row>
    <row r="23" spans="1:4">
      <c r="A23" t="s">
        <v>318</v>
      </c>
      <c r="B23" s="1" t="s">
        <v>321</v>
      </c>
      <c r="D23" s="1" t="s">
        <v>323</v>
      </c>
    </row>
    <row r="24" spans="1:4">
      <c r="A24" t="s">
        <v>319</v>
      </c>
      <c r="B24" s="1" t="s">
        <v>321</v>
      </c>
      <c r="D24" s="1" t="s">
        <v>322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126"/>
  <sheetViews>
    <sheetView tabSelected="1" topLeftCell="E11" workbookViewId="0">
      <selection activeCell="N27" sqref="N27"/>
    </sheetView>
  </sheetViews>
  <sheetFormatPr defaultRowHeight="15"/>
  <cols>
    <col min="1" max="1" width="4" style="1" customWidth="1"/>
    <col min="2" max="2" width="25.28515625" style="82" customWidth="1"/>
    <col min="3" max="3" width="9.28515625" style="1" customWidth="1"/>
    <col min="4" max="4" width="14.28515625" style="1" customWidth="1"/>
    <col min="5" max="14" width="19.140625" style="1" customWidth="1"/>
    <col min="15" max="15" width="20.85546875" style="1" customWidth="1"/>
    <col min="16" max="26" width="19" style="1" customWidth="1"/>
    <col min="27" max="16384" width="9.140625" style="1"/>
  </cols>
  <sheetData>
    <row r="2" spans="1:15">
      <c r="A2" s="334" t="s">
        <v>91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5">
      <c r="A3" s="322" t="s">
        <v>92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</row>
    <row r="4" spans="1:15" ht="56.25">
      <c r="A4" s="15" t="s">
        <v>0</v>
      </c>
      <c r="B4" s="16" t="s">
        <v>1</v>
      </c>
      <c r="C4" s="5" t="s">
        <v>326</v>
      </c>
      <c r="D4" s="5" t="s">
        <v>360</v>
      </c>
      <c r="E4" s="5" t="s">
        <v>358</v>
      </c>
      <c r="F4" s="5" t="s">
        <v>359</v>
      </c>
      <c r="G4" s="5" t="s">
        <v>361</v>
      </c>
      <c r="H4" s="5" t="s">
        <v>362</v>
      </c>
      <c r="I4" s="5" t="s">
        <v>363</v>
      </c>
      <c r="J4" s="5" t="s">
        <v>364</v>
      </c>
      <c r="K4" s="5" t="s">
        <v>365</v>
      </c>
      <c r="L4" s="5" t="s">
        <v>376</v>
      </c>
      <c r="M4" s="5" t="s">
        <v>377</v>
      </c>
      <c r="N4" s="5" t="s">
        <v>366</v>
      </c>
      <c r="O4" s="5" t="s">
        <v>366</v>
      </c>
    </row>
    <row r="5" spans="1:15" ht="23.25">
      <c r="A5" s="38">
        <v>1</v>
      </c>
      <c r="B5" s="23" t="s">
        <v>3</v>
      </c>
      <c r="C5" s="290">
        <v>8.3577999999999992</v>
      </c>
      <c r="D5" s="192">
        <v>0</v>
      </c>
      <c r="E5" s="257">
        <v>939.2</v>
      </c>
      <c r="F5" s="258">
        <v>7376</v>
      </c>
      <c r="G5" s="258">
        <v>0</v>
      </c>
      <c r="H5" s="258">
        <f>F5+G5-E5*3</f>
        <v>4558.3999999999996</v>
      </c>
      <c r="I5" s="258">
        <f>H5/E5</f>
        <v>4.8534923339011922</v>
      </c>
      <c r="J5" s="258">
        <f>E5*12</f>
        <v>11270.400000000001</v>
      </c>
      <c r="K5" s="258">
        <f>E5*10</f>
        <v>9392</v>
      </c>
      <c r="L5" s="279">
        <f>E5*(15-I5)</f>
        <v>9529.6</v>
      </c>
      <c r="M5" s="279">
        <v>9550</v>
      </c>
      <c r="N5" s="279">
        <f>M5*C5</f>
        <v>79816.989999999991</v>
      </c>
      <c r="O5" s="292">
        <f>K5*C5</f>
        <v>78496.457599999994</v>
      </c>
    </row>
    <row r="6" spans="1:15" ht="34.5">
      <c r="A6" s="38">
        <v>2</v>
      </c>
      <c r="B6" s="23" t="s">
        <v>4</v>
      </c>
      <c r="C6" s="290">
        <v>8.3577999999999992</v>
      </c>
      <c r="D6" s="192">
        <v>0</v>
      </c>
      <c r="E6" s="257">
        <v>699</v>
      </c>
      <c r="F6" s="259">
        <v>3623</v>
      </c>
      <c r="G6" s="258">
        <v>0</v>
      </c>
      <c r="H6" s="258">
        <f t="shared" ref="H6:H12" si="0">F6+G6-E6*3</f>
        <v>1526</v>
      </c>
      <c r="I6" s="258">
        <f t="shared" ref="I6:I12" si="1">H6/E6</f>
        <v>2.1831187410586552</v>
      </c>
      <c r="J6" s="258">
        <f t="shared" ref="J6:J12" si="2">E6*12</f>
        <v>8388</v>
      </c>
      <c r="K6" s="258">
        <f>E6*13</f>
        <v>9087</v>
      </c>
      <c r="L6" s="279">
        <f t="shared" ref="L6:L12" si="3">E6*(15-I6)</f>
        <v>8959</v>
      </c>
      <c r="M6" s="279">
        <v>9000</v>
      </c>
      <c r="N6" s="279">
        <f t="shared" ref="N6:N12" si="4">M6*C6</f>
        <v>75220.2</v>
      </c>
      <c r="O6" s="292">
        <f t="shared" ref="O6:O9" si="5">K6*C6</f>
        <v>75947.328599999993</v>
      </c>
    </row>
    <row r="7" spans="1:15" s="232" customFormat="1">
      <c r="A7" s="229">
        <v>3</v>
      </c>
      <c r="B7" s="230" t="s">
        <v>5</v>
      </c>
      <c r="C7" s="291">
        <f>17.24*2.4</f>
        <v>41.375999999999998</v>
      </c>
      <c r="D7" s="231">
        <v>900</v>
      </c>
      <c r="E7" s="257">
        <v>89.3</v>
      </c>
      <c r="F7" s="258">
        <v>799</v>
      </c>
      <c r="G7" s="258">
        <v>0</v>
      </c>
      <c r="H7" s="258">
        <f t="shared" si="0"/>
        <v>531.1</v>
      </c>
      <c r="I7" s="258">
        <f t="shared" si="1"/>
        <v>5.9473684210526319</v>
      </c>
      <c r="J7" s="258">
        <f t="shared" si="2"/>
        <v>1071.5999999999999</v>
      </c>
      <c r="K7" s="258">
        <f>E7*9</f>
        <v>803.69999999999993</v>
      </c>
      <c r="L7" s="279">
        <f t="shared" si="3"/>
        <v>808.4</v>
      </c>
      <c r="M7" s="279">
        <v>810</v>
      </c>
      <c r="N7" s="279">
        <f t="shared" si="4"/>
        <v>33514.559999999998</v>
      </c>
      <c r="O7" s="292">
        <f t="shared" si="5"/>
        <v>33253.891199999998</v>
      </c>
    </row>
    <row r="8" spans="1:15" ht="34.5">
      <c r="A8" s="38">
        <v>4</v>
      </c>
      <c r="B8" s="22" t="s">
        <v>6</v>
      </c>
      <c r="C8" s="290">
        <f>11*2.4</f>
        <v>26.4</v>
      </c>
      <c r="D8" s="47">
        <v>3500</v>
      </c>
      <c r="E8" s="257">
        <v>293.39999999999998</v>
      </c>
      <c r="F8" s="259">
        <v>2102</v>
      </c>
      <c r="G8" s="258">
        <v>0</v>
      </c>
      <c r="H8" s="258">
        <f t="shared" si="0"/>
        <v>1221.8000000000002</v>
      </c>
      <c r="I8" s="258">
        <f t="shared" si="1"/>
        <v>4.1642808452624411</v>
      </c>
      <c r="J8" s="258">
        <f t="shared" si="2"/>
        <v>3520.7999999999997</v>
      </c>
      <c r="K8" s="258">
        <f>E8*13</f>
        <v>3814.2</v>
      </c>
      <c r="L8" s="279">
        <f t="shared" si="3"/>
        <v>3179.1999999999994</v>
      </c>
      <c r="M8" s="279">
        <v>3500</v>
      </c>
      <c r="N8" s="279">
        <f t="shared" si="4"/>
        <v>92400</v>
      </c>
      <c r="O8" s="292">
        <f t="shared" si="5"/>
        <v>100694.87999999999</v>
      </c>
    </row>
    <row r="9" spans="1:15" ht="34.5">
      <c r="A9" s="38">
        <v>5</v>
      </c>
      <c r="B9" s="22" t="s">
        <v>8</v>
      </c>
      <c r="C9" s="290">
        <f>6.6*2.4</f>
        <v>15.839999999999998</v>
      </c>
      <c r="D9" s="47">
        <v>6750</v>
      </c>
      <c r="E9" s="257">
        <v>539.20000000000005</v>
      </c>
      <c r="F9" s="259">
        <v>6943</v>
      </c>
      <c r="G9" s="258">
        <v>0</v>
      </c>
      <c r="H9" s="258">
        <f t="shared" si="0"/>
        <v>5325.4</v>
      </c>
      <c r="I9" s="258">
        <f t="shared" si="1"/>
        <v>9.8764836795252204</v>
      </c>
      <c r="J9" s="258">
        <f t="shared" si="2"/>
        <v>6470.4000000000005</v>
      </c>
      <c r="K9" s="258">
        <f>E9*5</f>
        <v>2696</v>
      </c>
      <c r="L9" s="279">
        <f t="shared" si="3"/>
        <v>2762.6000000000013</v>
      </c>
      <c r="M9" s="279">
        <v>2800</v>
      </c>
      <c r="N9" s="279">
        <f t="shared" si="4"/>
        <v>44351.999999999993</v>
      </c>
      <c r="O9" s="292">
        <f t="shared" si="5"/>
        <v>42704.639999999992</v>
      </c>
    </row>
    <row r="10" spans="1:15" ht="23.25">
      <c r="A10" s="38">
        <v>6</v>
      </c>
      <c r="B10" s="22" t="s">
        <v>7</v>
      </c>
      <c r="C10" s="290">
        <v>35.700000000000003</v>
      </c>
      <c r="D10" s="192">
        <v>600</v>
      </c>
      <c r="E10" s="257">
        <v>35.1</v>
      </c>
      <c r="F10" s="259">
        <v>874</v>
      </c>
      <c r="G10" s="258">
        <v>0</v>
      </c>
      <c r="H10" s="258">
        <f t="shared" si="0"/>
        <v>768.7</v>
      </c>
      <c r="I10" s="258">
        <f t="shared" si="1"/>
        <v>21.900284900284902</v>
      </c>
      <c r="J10" s="258">
        <f t="shared" si="2"/>
        <v>421.20000000000005</v>
      </c>
      <c r="K10" s="258">
        <v>0</v>
      </c>
      <c r="L10" s="279">
        <f t="shared" si="3"/>
        <v>-242.20000000000007</v>
      </c>
      <c r="M10" s="279">
        <v>0</v>
      </c>
      <c r="N10" s="279">
        <f t="shared" si="4"/>
        <v>0</v>
      </c>
      <c r="O10" s="258">
        <f t="shared" ref="O10" si="6">K10*C10</f>
        <v>0</v>
      </c>
    </row>
    <row r="11" spans="1:15" ht="23.25">
      <c r="A11" s="38">
        <v>7</v>
      </c>
      <c r="B11" s="32" t="s">
        <v>9</v>
      </c>
      <c r="C11" s="290">
        <v>29.4</v>
      </c>
      <c r="D11" s="192">
        <v>960</v>
      </c>
      <c r="E11" s="257">
        <v>27.6</v>
      </c>
      <c r="F11" s="259">
        <v>358</v>
      </c>
      <c r="G11" s="259">
        <v>360</v>
      </c>
      <c r="H11" s="258">
        <f t="shared" si="0"/>
        <v>635.20000000000005</v>
      </c>
      <c r="I11" s="258">
        <f t="shared" si="1"/>
        <v>23.014492753623188</v>
      </c>
      <c r="J11" s="258">
        <f t="shared" si="2"/>
        <v>331.20000000000005</v>
      </c>
      <c r="K11" s="258">
        <v>400</v>
      </c>
      <c r="L11" s="279">
        <f t="shared" si="3"/>
        <v>-221.2</v>
      </c>
      <c r="M11" s="279">
        <v>0</v>
      </c>
      <c r="N11" s="279">
        <f t="shared" si="4"/>
        <v>0</v>
      </c>
      <c r="O11" s="258"/>
    </row>
    <row r="12" spans="1:15" ht="23.25">
      <c r="A12" s="38">
        <v>8</v>
      </c>
      <c r="B12" s="32" t="s">
        <v>10</v>
      </c>
      <c r="C12" s="290">
        <v>29.4</v>
      </c>
      <c r="D12" s="192">
        <v>1000</v>
      </c>
      <c r="E12" s="257">
        <v>65.099999999999994</v>
      </c>
      <c r="F12" s="259">
        <v>348</v>
      </c>
      <c r="G12" s="259">
        <v>600</v>
      </c>
      <c r="H12" s="258">
        <f t="shared" si="0"/>
        <v>752.7</v>
      </c>
      <c r="I12" s="258">
        <f t="shared" si="1"/>
        <v>11.562211981566822</v>
      </c>
      <c r="J12" s="258">
        <f t="shared" si="2"/>
        <v>781.19999999999993</v>
      </c>
      <c r="K12" s="258">
        <v>400</v>
      </c>
      <c r="L12" s="279">
        <f t="shared" si="3"/>
        <v>223.79999999999987</v>
      </c>
      <c r="M12" s="279">
        <v>0</v>
      </c>
      <c r="N12" s="279">
        <f t="shared" si="4"/>
        <v>0</v>
      </c>
      <c r="O12" s="258"/>
    </row>
    <row r="13" spans="1:15">
      <c r="A13" s="38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489">
        <f>SUM(N5:N12)</f>
        <v>325303.75</v>
      </c>
      <c r="O13" s="33"/>
    </row>
    <row r="14" spans="1:15">
      <c r="A14" s="38"/>
      <c r="B14" s="59" t="s">
        <v>59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84">
        <f>O5+O6+O7+O8+O9</f>
        <v>331097.1974</v>
      </c>
    </row>
    <row r="15" spans="1:15">
      <c r="A15" s="322" t="s">
        <v>54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</row>
    <row r="16" spans="1:15" ht="56.25">
      <c r="A16" s="15" t="s">
        <v>0</v>
      </c>
      <c r="B16" s="16" t="s">
        <v>1</v>
      </c>
      <c r="C16" s="5" t="s">
        <v>326</v>
      </c>
      <c r="D16" s="5" t="s">
        <v>360</v>
      </c>
      <c r="E16" s="5" t="s">
        <v>358</v>
      </c>
      <c r="F16" s="5" t="s">
        <v>359</v>
      </c>
      <c r="G16" s="5" t="s">
        <v>361</v>
      </c>
      <c r="H16" s="5" t="s">
        <v>362</v>
      </c>
      <c r="I16" s="5" t="s">
        <v>363</v>
      </c>
      <c r="J16" s="5" t="s">
        <v>364</v>
      </c>
      <c r="K16" s="5" t="s">
        <v>365</v>
      </c>
      <c r="L16" s="5" t="s">
        <v>376</v>
      </c>
      <c r="M16" s="5" t="s">
        <v>377</v>
      </c>
      <c r="N16" s="5" t="s">
        <v>366</v>
      </c>
      <c r="O16" s="5" t="s">
        <v>366</v>
      </c>
    </row>
    <row r="17" spans="1:17" ht="23.25">
      <c r="A17" s="38">
        <v>7</v>
      </c>
      <c r="B17" s="23" t="s">
        <v>11</v>
      </c>
      <c r="C17" s="289">
        <f>3.58*2.7</f>
        <v>9.6660000000000004</v>
      </c>
      <c r="D17" s="47">
        <v>378600</v>
      </c>
      <c r="E17" s="257">
        <v>12885.6</v>
      </c>
      <c r="F17" s="260">
        <v>42945</v>
      </c>
      <c r="G17" s="260">
        <v>29745</v>
      </c>
      <c r="H17" s="260">
        <f>F17+G17-E17*3</f>
        <v>34033.199999999997</v>
      </c>
      <c r="I17" s="260">
        <f>H17/E17</f>
        <v>2.6411808530452596</v>
      </c>
      <c r="J17" s="260">
        <f>E17*12</f>
        <v>154627.20000000001</v>
      </c>
      <c r="K17" s="260">
        <v>208230</v>
      </c>
      <c r="L17" s="279">
        <f>E17*(15-I17)</f>
        <v>159250.80000000002</v>
      </c>
      <c r="M17" s="279">
        <v>208230</v>
      </c>
      <c r="N17" s="279">
        <f>M17*C17</f>
        <v>2012751.1800000002</v>
      </c>
      <c r="O17" s="281">
        <f>C17*K17</f>
        <v>2012751.1800000002</v>
      </c>
      <c r="Q17" s="97"/>
    </row>
    <row r="18" spans="1:17" ht="23.25">
      <c r="A18" s="38">
        <v>8</v>
      </c>
      <c r="B18" s="23" t="s">
        <v>12</v>
      </c>
      <c r="C18" s="289">
        <f>2.5*2.4</f>
        <v>6</v>
      </c>
      <c r="D18" s="47">
        <v>155000</v>
      </c>
      <c r="E18" s="257">
        <v>11553.2</v>
      </c>
      <c r="F18" s="260">
        <v>70508</v>
      </c>
      <c r="G18" s="260">
        <v>0</v>
      </c>
      <c r="H18" s="260">
        <f t="shared" ref="H18:H20" si="7">F18+G18-E18*3</f>
        <v>35848.399999999994</v>
      </c>
      <c r="I18" s="260">
        <f t="shared" ref="I18:I20" si="8">H18/E18</f>
        <v>3.1028978984177535</v>
      </c>
      <c r="J18" s="260">
        <f t="shared" ref="J18:J20" si="9">E18*12</f>
        <v>138638.40000000002</v>
      </c>
      <c r="K18" s="260">
        <f>E18*12</f>
        <v>138638.40000000002</v>
      </c>
      <c r="L18" s="279">
        <f t="shared" ref="L18:L20" si="10">E18*(15-I18)</f>
        <v>137449.60000000003</v>
      </c>
      <c r="M18" s="279">
        <v>137500</v>
      </c>
      <c r="N18" s="279">
        <f t="shared" ref="N18:N20" si="11">M18*C18</f>
        <v>825000</v>
      </c>
      <c r="O18" s="281">
        <f t="shared" ref="O18:O20" si="12">C18*K18</f>
        <v>831830.40000000014</v>
      </c>
    </row>
    <row r="19" spans="1:17" ht="23.25">
      <c r="A19" s="38">
        <v>9</v>
      </c>
      <c r="B19" s="23" t="s">
        <v>13</v>
      </c>
      <c r="C19" s="289">
        <f>2.5*2.4</f>
        <v>6</v>
      </c>
      <c r="D19" s="47">
        <v>190000</v>
      </c>
      <c r="E19" s="257">
        <v>14354.7</v>
      </c>
      <c r="F19" s="260">
        <v>80309</v>
      </c>
      <c r="G19" s="260">
        <v>0</v>
      </c>
      <c r="H19" s="260">
        <f t="shared" si="7"/>
        <v>37244.899999999994</v>
      </c>
      <c r="I19" s="260">
        <f t="shared" si="8"/>
        <v>2.5946136108730933</v>
      </c>
      <c r="J19" s="260">
        <f t="shared" si="9"/>
        <v>172256.40000000002</v>
      </c>
      <c r="K19" s="260">
        <f>E19*13</f>
        <v>186611.1</v>
      </c>
      <c r="L19" s="279">
        <f t="shared" si="10"/>
        <v>178075.6</v>
      </c>
      <c r="M19" s="279">
        <v>180000</v>
      </c>
      <c r="N19" s="279">
        <f t="shared" si="11"/>
        <v>1080000</v>
      </c>
      <c r="O19" s="281">
        <f t="shared" si="12"/>
        <v>1119666.6000000001</v>
      </c>
    </row>
    <row r="20" spans="1:17" ht="22.5">
      <c r="A20" s="38">
        <v>10</v>
      </c>
      <c r="B20" s="34" t="s">
        <v>14</v>
      </c>
      <c r="C20" s="289">
        <f>6.22*2.7</f>
        <v>16.794</v>
      </c>
      <c r="D20" s="47">
        <v>396000</v>
      </c>
      <c r="E20" s="257">
        <v>14234.4</v>
      </c>
      <c r="F20" s="260">
        <v>66236</v>
      </c>
      <c r="G20" s="260">
        <v>0</v>
      </c>
      <c r="H20" s="260">
        <f t="shared" si="7"/>
        <v>23532.800000000003</v>
      </c>
      <c r="I20" s="260">
        <f t="shared" si="8"/>
        <v>1.6532344180295624</v>
      </c>
      <c r="J20" s="260">
        <f t="shared" si="9"/>
        <v>170812.79999999999</v>
      </c>
      <c r="K20" s="260">
        <v>213860</v>
      </c>
      <c r="L20" s="279">
        <f t="shared" si="10"/>
        <v>189983.19999999998</v>
      </c>
      <c r="M20" s="279">
        <v>213860</v>
      </c>
      <c r="N20" s="279">
        <f t="shared" si="11"/>
        <v>3591564.8400000003</v>
      </c>
      <c r="O20" s="281">
        <f t="shared" si="12"/>
        <v>3591564.8400000003</v>
      </c>
    </row>
    <row r="21" spans="1:17">
      <c r="A21" s="38"/>
      <c r="B21" s="34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488">
        <f>SUM(N17:N20)</f>
        <v>7509316.0200000005</v>
      </c>
      <c r="O21" s="56"/>
    </row>
    <row r="22" spans="1:17" s="66" customFormat="1" ht="26.25" customHeight="1">
      <c r="A22" s="65"/>
      <c r="B22" s="59" t="s">
        <v>59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285">
        <f>O17+O18+O19+O20</f>
        <v>7555813.0200000005</v>
      </c>
    </row>
    <row r="23" spans="1:17">
      <c r="A23" s="345" t="s">
        <v>55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</row>
    <row r="24" spans="1:17" ht="56.25">
      <c r="A24" s="15" t="s">
        <v>0</v>
      </c>
      <c r="B24" s="16" t="s">
        <v>1</v>
      </c>
      <c r="C24" s="5" t="s">
        <v>326</v>
      </c>
      <c r="D24" s="5" t="s">
        <v>360</v>
      </c>
      <c r="E24" s="5" t="s">
        <v>358</v>
      </c>
      <c r="F24" s="5" t="s">
        <v>359</v>
      </c>
      <c r="G24" s="5" t="s">
        <v>361</v>
      </c>
      <c r="H24" s="5" t="s">
        <v>362</v>
      </c>
      <c r="I24" s="5" t="s">
        <v>363</v>
      </c>
      <c r="J24" s="5" t="s">
        <v>364</v>
      </c>
      <c r="K24" s="5" t="s">
        <v>365</v>
      </c>
      <c r="L24" s="5" t="s">
        <v>376</v>
      </c>
      <c r="M24" s="5" t="s">
        <v>377</v>
      </c>
      <c r="N24" s="5" t="s">
        <v>366</v>
      </c>
      <c r="O24" s="5" t="s">
        <v>366</v>
      </c>
    </row>
    <row r="25" spans="1:17">
      <c r="A25" s="38">
        <v>1</v>
      </c>
      <c r="B25" s="23" t="s">
        <v>15</v>
      </c>
      <c r="C25" s="286">
        <v>9.5</v>
      </c>
      <c r="D25" s="192">
        <v>10000</v>
      </c>
      <c r="E25" s="257">
        <v>954</v>
      </c>
      <c r="F25" s="260">
        <v>3378</v>
      </c>
      <c r="G25" s="260">
        <v>0</v>
      </c>
      <c r="H25" s="260">
        <f>F25+G25-E25*3</f>
        <v>516</v>
      </c>
      <c r="I25" s="260">
        <f>H25/E25</f>
        <v>0.54088050314465408</v>
      </c>
      <c r="J25" s="260">
        <f>E25*12</f>
        <v>11448</v>
      </c>
      <c r="K25" s="260">
        <f>E25*15</f>
        <v>14310</v>
      </c>
      <c r="L25" s="279">
        <f t="shared" ref="L25" si="13">E25*(15-I25)</f>
        <v>13794</v>
      </c>
      <c r="M25" s="279">
        <v>14300</v>
      </c>
      <c r="N25" s="279">
        <f>M25*C25</f>
        <v>135850</v>
      </c>
      <c r="O25" s="280">
        <f>C25*K25</f>
        <v>135945</v>
      </c>
    </row>
    <row r="26" spans="1:17">
      <c r="A26" s="38"/>
      <c r="B26" s="23" t="s">
        <v>59</v>
      </c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310">
        <v>135850</v>
      </c>
      <c r="O26" s="287">
        <v>135945</v>
      </c>
    </row>
    <row r="27" spans="1:17" ht="35.25" customHeight="1">
      <c r="A27" s="45"/>
      <c r="B27" s="233" t="s">
        <v>60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231">
        <f>N26+N21+N13</f>
        <v>7970469.7700000005</v>
      </c>
      <c r="O27" s="274">
        <f>O26+O22+O14</f>
        <v>8022855.2174000004</v>
      </c>
    </row>
    <row r="28" spans="1:17" ht="34.5" customHeight="1">
      <c r="A28" s="234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</row>
    <row r="29" spans="1:17">
      <c r="A29" s="482" t="s">
        <v>329</v>
      </c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</row>
    <row r="30" spans="1:17">
      <c r="A30" s="347" t="s">
        <v>330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</row>
    <row r="31" spans="1:17" ht="56.25">
      <c r="A31" s="15" t="s">
        <v>0</v>
      </c>
      <c r="B31" s="16" t="s">
        <v>1</v>
      </c>
      <c r="C31" s="5" t="s">
        <v>326</v>
      </c>
      <c r="D31" s="5" t="s">
        <v>360</v>
      </c>
      <c r="E31" s="5" t="s">
        <v>358</v>
      </c>
      <c r="F31" s="5" t="s">
        <v>359</v>
      </c>
      <c r="G31" s="5" t="s">
        <v>361</v>
      </c>
      <c r="H31" s="5" t="s">
        <v>362</v>
      </c>
      <c r="I31" s="5" t="s">
        <v>363</v>
      </c>
      <c r="J31" s="5" t="s">
        <v>364</v>
      </c>
      <c r="K31" s="5" t="s">
        <v>365</v>
      </c>
      <c r="L31" s="5" t="s">
        <v>376</v>
      </c>
      <c r="M31" s="5" t="s">
        <v>377</v>
      </c>
      <c r="N31" s="5" t="s">
        <v>366</v>
      </c>
      <c r="O31" s="5" t="s">
        <v>366</v>
      </c>
    </row>
    <row r="32" spans="1:17" ht="23.25">
      <c r="A32" s="38">
        <v>1</v>
      </c>
      <c r="B32" s="23" t="s">
        <v>16</v>
      </c>
      <c r="C32" s="14"/>
      <c r="D32" s="14">
        <v>0</v>
      </c>
      <c r="E32" s="78"/>
      <c r="F32" s="78"/>
      <c r="G32" s="78">
        <v>0</v>
      </c>
      <c r="H32" s="78"/>
      <c r="I32" s="78"/>
      <c r="J32" s="78"/>
      <c r="K32" s="78"/>
      <c r="L32" s="78"/>
      <c r="M32" s="78">
        <v>0</v>
      </c>
      <c r="N32" s="279">
        <f t="shared" ref="N32:N37" si="14">M32*C32</f>
        <v>0</v>
      </c>
      <c r="O32" s="78"/>
      <c r="P32" s="1" t="s">
        <v>331</v>
      </c>
    </row>
    <row r="33" spans="1:20">
      <c r="A33" s="38">
        <v>2</v>
      </c>
      <c r="B33" s="23" t="s">
        <v>17</v>
      </c>
      <c r="C33" s="288">
        <v>0.75</v>
      </c>
      <c r="D33" s="14">
        <v>0</v>
      </c>
      <c r="E33" s="257">
        <v>1662.2</v>
      </c>
      <c r="F33" s="260">
        <v>28890</v>
      </c>
      <c r="G33" s="78">
        <v>0</v>
      </c>
      <c r="H33" s="78">
        <f>F33+G33-E33*3</f>
        <v>23903.4</v>
      </c>
      <c r="I33" s="78">
        <f>H33/E33</f>
        <v>14.380579954277463</v>
      </c>
      <c r="J33" s="78">
        <f>E33*12</f>
        <v>19946.400000000001</v>
      </c>
      <c r="K33" s="78">
        <v>38200</v>
      </c>
      <c r="L33" s="279">
        <f>E33*(15-I33)</f>
        <v>1029.6000000000006</v>
      </c>
      <c r="M33" s="279">
        <f>K33</f>
        <v>38200</v>
      </c>
      <c r="N33" s="279">
        <f t="shared" si="14"/>
        <v>28650</v>
      </c>
      <c r="O33" s="78">
        <f>C33*K33</f>
        <v>28650</v>
      </c>
      <c r="Q33" s="1">
        <v>40450</v>
      </c>
      <c r="R33" s="483" t="s">
        <v>332</v>
      </c>
    </row>
    <row r="34" spans="1:20" ht="34.5">
      <c r="A34" s="38">
        <v>3</v>
      </c>
      <c r="B34" s="23" t="s">
        <v>18</v>
      </c>
      <c r="C34" s="288">
        <v>1.25</v>
      </c>
      <c r="D34" s="14">
        <v>0</v>
      </c>
      <c r="E34" s="257">
        <v>3765</v>
      </c>
      <c r="F34" s="260">
        <v>2290</v>
      </c>
      <c r="G34" s="78">
        <v>0</v>
      </c>
      <c r="H34" s="78">
        <f t="shared" ref="H34:H37" si="15">F34+G34-E34*3</f>
        <v>-9005</v>
      </c>
      <c r="I34" s="78">
        <f t="shared" ref="I34:I37" si="16">H34/E34</f>
        <v>-2.3917662682602923</v>
      </c>
      <c r="J34" s="78">
        <f t="shared" ref="J34:J37" si="17">E34*12</f>
        <v>45180</v>
      </c>
      <c r="K34" s="78">
        <v>53900</v>
      </c>
      <c r="L34" s="279">
        <f>E34*15</f>
        <v>56475</v>
      </c>
      <c r="M34" s="279">
        <f>K34</f>
        <v>53900</v>
      </c>
      <c r="N34" s="279">
        <f t="shared" si="14"/>
        <v>67375</v>
      </c>
      <c r="O34" s="78">
        <f t="shared" ref="O34:O37" si="18">C34*K34</f>
        <v>67375</v>
      </c>
      <c r="P34" s="237" t="s">
        <v>333</v>
      </c>
      <c r="Q34" s="1">
        <v>23319</v>
      </c>
      <c r="R34" s="483"/>
      <c r="S34" s="47">
        <v>19100</v>
      </c>
      <c r="T34" s="54"/>
    </row>
    <row r="35" spans="1:20">
      <c r="A35" s="38">
        <v>4</v>
      </c>
      <c r="B35" s="23" t="s">
        <v>19</v>
      </c>
      <c r="C35" s="288">
        <v>2.1</v>
      </c>
      <c r="D35" s="14">
        <v>0</v>
      </c>
      <c r="E35" s="257">
        <v>1368.1</v>
      </c>
      <c r="F35" s="260">
        <v>0</v>
      </c>
      <c r="G35" s="78">
        <v>0</v>
      </c>
      <c r="H35" s="78">
        <f t="shared" si="15"/>
        <v>-4104.2999999999993</v>
      </c>
      <c r="I35" s="78">
        <f t="shared" si="16"/>
        <v>-2.9999999999999996</v>
      </c>
      <c r="J35" s="78">
        <f t="shared" si="17"/>
        <v>16417.199999999997</v>
      </c>
      <c r="K35" s="78">
        <v>19100</v>
      </c>
      <c r="L35" s="279">
        <f>E35*15</f>
        <v>20521.5</v>
      </c>
      <c r="M35" s="279">
        <f>K35</f>
        <v>19100</v>
      </c>
      <c r="N35" s="279">
        <f t="shared" si="14"/>
        <v>40110</v>
      </c>
      <c r="O35" s="78">
        <f t="shared" si="18"/>
        <v>40110</v>
      </c>
      <c r="Q35" s="1">
        <v>5714</v>
      </c>
      <c r="R35" s="483"/>
      <c r="S35" s="47">
        <v>53900</v>
      </c>
      <c r="T35" s="54" t="e">
        <f>#REF!-S35</f>
        <v>#REF!</v>
      </c>
    </row>
    <row r="36" spans="1:20" ht="33.75">
      <c r="A36" s="38">
        <v>5</v>
      </c>
      <c r="B36" s="23" t="s">
        <v>20</v>
      </c>
      <c r="C36" s="288">
        <v>2.94</v>
      </c>
      <c r="D36" s="14">
        <v>0</v>
      </c>
      <c r="E36" s="257">
        <v>265.2</v>
      </c>
      <c r="F36" s="260">
        <v>2190</v>
      </c>
      <c r="G36" s="78">
        <v>0</v>
      </c>
      <c r="H36" s="318">
        <f t="shared" si="15"/>
        <v>1394.4</v>
      </c>
      <c r="I36" s="78">
        <f t="shared" si="16"/>
        <v>5.2579185520362</v>
      </c>
      <c r="J36" s="78">
        <f t="shared" si="17"/>
        <v>3182.3999999999996</v>
      </c>
      <c r="K36" s="78">
        <v>0</v>
      </c>
      <c r="L36" s="279">
        <f>E36*(15-I36)</f>
        <v>2583.5999999999995</v>
      </c>
      <c r="M36" s="279">
        <v>0</v>
      </c>
      <c r="N36" s="279">
        <f t="shared" si="14"/>
        <v>0</v>
      </c>
      <c r="O36" s="78">
        <f t="shared" si="18"/>
        <v>0</v>
      </c>
      <c r="Q36" s="1">
        <v>6078</v>
      </c>
      <c r="R36" s="238" t="s">
        <v>334</v>
      </c>
      <c r="S36" s="47">
        <v>19100</v>
      </c>
    </row>
    <row r="37" spans="1:20" ht="34.5">
      <c r="A37" s="38">
        <v>6</v>
      </c>
      <c r="B37" s="23" t="s">
        <v>76</v>
      </c>
      <c r="C37" s="288">
        <v>0.35</v>
      </c>
      <c r="D37" s="192">
        <v>720000</v>
      </c>
      <c r="E37" s="262">
        <v>53257.2</v>
      </c>
      <c r="F37" s="317">
        <v>243410</v>
      </c>
      <c r="G37" s="262">
        <v>209793</v>
      </c>
      <c r="H37" s="78">
        <f t="shared" si="15"/>
        <v>293431.40000000002</v>
      </c>
      <c r="I37" s="78">
        <f t="shared" si="16"/>
        <v>5.5097038522490864</v>
      </c>
      <c r="J37" s="78">
        <f t="shared" si="17"/>
        <v>639086.39999999991</v>
      </c>
      <c r="K37" s="78">
        <f>E37*13</f>
        <v>692343.6</v>
      </c>
      <c r="L37" s="279">
        <f>E37*(15-I37)</f>
        <v>505426.6</v>
      </c>
      <c r="M37" s="279">
        <v>510000</v>
      </c>
      <c r="N37" s="279">
        <f t="shared" si="14"/>
        <v>178500</v>
      </c>
      <c r="O37" s="78">
        <f t="shared" si="18"/>
        <v>242320.25999999998</v>
      </c>
    </row>
    <row r="38" spans="1:20">
      <c r="A38" s="224"/>
      <c r="B38" s="9"/>
      <c r="C38" s="6"/>
      <c r="D38" s="6"/>
      <c r="E38" s="261"/>
      <c r="F38" s="263"/>
      <c r="G38" s="275"/>
      <c r="H38" s="275"/>
      <c r="I38" s="275"/>
      <c r="J38" s="275"/>
      <c r="K38" s="275"/>
      <c r="L38" s="275"/>
      <c r="M38" s="275"/>
      <c r="N38" s="319">
        <f>SUM(N32:N37)</f>
        <v>314635</v>
      </c>
      <c r="O38" s="293">
        <f>O33+O34+O35+O37</f>
        <v>378455.26</v>
      </c>
    </row>
    <row r="39" spans="1:20">
      <c r="A39" s="347" t="s">
        <v>335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</row>
    <row r="40" spans="1:20" ht="45">
      <c r="A40" s="15" t="s">
        <v>0</v>
      </c>
      <c r="B40" s="16" t="s">
        <v>21</v>
      </c>
      <c r="C40" s="5" t="s">
        <v>326</v>
      </c>
      <c r="D40" s="5" t="s">
        <v>360</v>
      </c>
      <c r="E40" s="5" t="s">
        <v>358</v>
      </c>
      <c r="F40" s="5" t="s">
        <v>359</v>
      </c>
      <c r="G40" s="5" t="s">
        <v>361</v>
      </c>
      <c r="H40" s="5" t="s">
        <v>362</v>
      </c>
      <c r="I40" s="5" t="s">
        <v>363</v>
      </c>
      <c r="J40" s="5" t="s">
        <v>364</v>
      </c>
      <c r="K40" s="5" t="s">
        <v>365</v>
      </c>
      <c r="L40" s="5"/>
      <c r="M40" s="5"/>
      <c r="N40" s="5"/>
      <c r="O40" s="5" t="s">
        <v>366</v>
      </c>
    </row>
    <row r="41" spans="1:20" ht="34.5">
      <c r="A41" s="38">
        <v>1</v>
      </c>
      <c r="B41" s="23" t="s">
        <v>22</v>
      </c>
      <c r="C41" s="192">
        <v>1.2999999999999999E-2</v>
      </c>
      <c r="D41" s="47">
        <v>42000</v>
      </c>
      <c r="E41" s="257">
        <v>2627.2</v>
      </c>
      <c r="F41" s="260">
        <v>49000</v>
      </c>
      <c r="G41" s="260">
        <v>0</v>
      </c>
      <c r="H41" s="260">
        <f>F41+G41-E41*3</f>
        <v>41118.400000000001</v>
      </c>
      <c r="I41" s="260">
        <f>H41/E41</f>
        <v>15.651035322777103</v>
      </c>
      <c r="J41" s="260">
        <f>E41*12</f>
        <v>31526.399999999998</v>
      </c>
      <c r="K41" s="260">
        <v>0</v>
      </c>
      <c r="L41" s="279">
        <f t="shared" ref="L41" si="19">E41*(15-I41)</f>
        <v>-1710.4000000000051</v>
      </c>
      <c r="M41" s="279"/>
      <c r="N41" s="279">
        <v>0</v>
      </c>
      <c r="O41" s="260">
        <v>0</v>
      </c>
    </row>
    <row r="42" spans="1:20">
      <c r="A42" s="224"/>
      <c r="B42" s="9"/>
      <c r="C42" s="6"/>
      <c r="D42" s="47"/>
      <c r="E42" s="6"/>
      <c r="F42" s="6"/>
      <c r="G42" s="6"/>
      <c r="H42" s="6"/>
      <c r="I42" s="6"/>
      <c r="J42" s="6"/>
      <c r="K42" s="6"/>
      <c r="L42" s="6"/>
      <c r="M42" s="6"/>
      <c r="N42" s="319">
        <f>SUM(N41)</f>
        <v>0</v>
      </c>
      <c r="O42" s="294">
        <v>0</v>
      </c>
    </row>
    <row r="43" spans="1:20">
      <c r="A43" s="347" t="s">
        <v>336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</row>
    <row r="44" spans="1:20" ht="45">
      <c r="A44" s="15" t="s">
        <v>0</v>
      </c>
      <c r="B44" s="16" t="s">
        <v>21</v>
      </c>
      <c r="C44" s="5" t="s">
        <v>326</v>
      </c>
      <c r="D44" s="5"/>
      <c r="E44" s="5" t="s">
        <v>358</v>
      </c>
      <c r="F44" s="5" t="s">
        <v>328</v>
      </c>
      <c r="G44" s="5" t="s">
        <v>361</v>
      </c>
      <c r="H44" s="5" t="s">
        <v>362</v>
      </c>
      <c r="I44" s="5" t="s">
        <v>363</v>
      </c>
      <c r="J44" s="5" t="s">
        <v>364</v>
      </c>
      <c r="K44" s="5" t="s">
        <v>365</v>
      </c>
      <c r="L44" s="5"/>
      <c r="M44" s="5"/>
      <c r="N44" s="5"/>
      <c r="O44" s="5" t="s">
        <v>366</v>
      </c>
    </row>
    <row r="45" spans="1:20">
      <c r="A45" s="38">
        <v>1</v>
      </c>
      <c r="B45" s="23" t="s">
        <v>23</v>
      </c>
      <c r="C45" s="192">
        <v>7.0999999999999994E-2</v>
      </c>
      <c r="D45" s="192">
        <v>54400</v>
      </c>
      <c r="E45" s="265">
        <v>3151.8</v>
      </c>
      <c r="F45" s="264">
        <v>57200</v>
      </c>
      <c r="G45" s="264">
        <v>0</v>
      </c>
      <c r="H45" s="264">
        <f>F45+G45-E45*3</f>
        <v>47744.6</v>
      </c>
      <c r="I45" s="264">
        <f>H45/E45</f>
        <v>15.14835966749159</v>
      </c>
      <c r="J45" s="264">
        <f>E45*12</f>
        <v>37821.600000000006</v>
      </c>
      <c r="K45" s="264">
        <v>0</v>
      </c>
      <c r="L45" s="279">
        <f t="shared" ref="L45" si="20">E45*(15-I45)</f>
        <v>-467.59999999999383</v>
      </c>
      <c r="M45" s="279"/>
      <c r="N45" s="279">
        <v>0</v>
      </c>
      <c r="O45" s="264">
        <v>0</v>
      </c>
    </row>
    <row r="46" spans="1:20">
      <c r="A46" s="223"/>
      <c r="B46" s="239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319">
        <f>SUM(N45)</f>
        <v>0</v>
      </c>
      <c r="O46" s="295">
        <v>0</v>
      </c>
    </row>
    <row r="47" spans="1:20" ht="33.75" customHeight="1">
      <c r="A47" s="241"/>
      <c r="B47" s="242" t="s">
        <v>367</v>
      </c>
      <c r="C47" s="243"/>
      <c r="D47" s="243"/>
      <c r="E47" s="243"/>
      <c r="F47" s="243"/>
      <c r="G47" s="243"/>
      <c r="H47" s="243"/>
      <c r="I47" s="243"/>
      <c r="J47" s="243"/>
      <c r="K47" s="307">
        <f>O38+O42+O46</f>
        <v>378455.26</v>
      </c>
      <c r="L47" s="307"/>
      <c r="M47" s="307"/>
      <c r="N47" s="320">
        <f>N38+N42+N46</f>
        <v>314635</v>
      </c>
      <c r="O47" s="296"/>
    </row>
    <row r="48" spans="1:20">
      <c r="A48" s="244"/>
      <c r="B48" s="245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</row>
    <row r="49" spans="1:15">
      <c r="A49" s="460" t="s">
        <v>337</v>
      </c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</row>
    <row r="50" spans="1:15">
      <c r="A50" s="345" t="s">
        <v>24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</row>
    <row r="51" spans="1:15" ht="56.25">
      <c r="A51" s="15" t="s">
        <v>0</v>
      </c>
      <c r="B51" s="16" t="s">
        <v>1</v>
      </c>
      <c r="C51" s="5" t="s">
        <v>326</v>
      </c>
      <c r="D51" s="5" t="s">
        <v>360</v>
      </c>
      <c r="E51" s="5" t="s">
        <v>358</v>
      </c>
      <c r="F51" s="5" t="s">
        <v>359</v>
      </c>
      <c r="G51" s="5" t="s">
        <v>361</v>
      </c>
      <c r="H51" s="5" t="s">
        <v>362</v>
      </c>
      <c r="I51" s="5" t="s">
        <v>363</v>
      </c>
      <c r="J51" s="5" t="s">
        <v>364</v>
      </c>
      <c r="K51" s="5" t="s">
        <v>365</v>
      </c>
      <c r="L51" s="5" t="s">
        <v>376</v>
      </c>
      <c r="M51" s="5" t="s">
        <v>377</v>
      </c>
      <c r="N51" s="5" t="s">
        <v>366</v>
      </c>
      <c r="O51" s="5" t="s">
        <v>366</v>
      </c>
    </row>
    <row r="52" spans="1:15" ht="23.25">
      <c r="A52" s="38">
        <v>1</v>
      </c>
      <c r="B52" s="77" t="s">
        <v>25</v>
      </c>
      <c r="C52" s="185">
        <v>209.05</v>
      </c>
      <c r="D52" s="192">
        <v>210</v>
      </c>
      <c r="E52" s="192">
        <v>16</v>
      </c>
      <c r="F52" s="266">
        <v>218</v>
      </c>
      <c r="G52" s="266">
        <v>0</v>
      </c>
      <c r="H52" s="266">
        <f>F52+G52-E52*3</f>
        <v>170</v>
      </c>
      <c r="I52" s="279">
        <f>H52/E52</f>
        <v>10.625</v>
      </c>
      <c r="J52" s="279">
        <f>E52*12</f>
        <v>192</v>
      </c>
      <c r="K52" s="279">
        <v>64</v>
      </c>
      <c r="L52" s="310">
        <f>E52*(15-I52)</f>
        <v>70</v>
      </c>
      <c r="M52" s="310">
        <v>70</v>
      </c>
      <c r="N52" s="310">
        <f>M52*C52</f>
        <v>14633.5</v>
      </c>
      <c r="O52" s="279">
        <f>C52*K52</f>
        <v>13379.2</v>
      </c>
    </row>
    <row r="53" spans="1:15">
      <c r="N53" s="312">
        <f>SUM(N52)</f>
        <v>14633.5</v>
      </c>
      <c r="O53" s="300">
        <v>8780.1</v>
      </c>
    </row>
    <row r="54" spans="1:15">
      <c r="A54" s="345" t="s">
        <v>338</v>
      </c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</row>
    <row r="55" spans="1:15" ht="56.25">
      <c r="A55" s="15" t="s">
        <v>0</v>
      </c>
      <c r="B55" s="16" t="s">
        <v>1</v>
      </c>
      <c r="C55" s="5" t="s">
        <v>326</v>
      </c>
      <c r="D55" s="5" t="s">
        <v>360</v>
      </c>
      <c r="E55" s="5" t="s">
        <v>327</v>
      </c>
      <c r="F55" s="5" t="s">
        <v>359</v>
      </c>
      <c r="G55" s="5" t="s">
        <v>361</v>
      </c>
      <c r="H55" s="5" t="s">
        <v>362</v>
      </c>
      <c r="I55" s="5" t="s">
        <v>363</v>
      </c>
      <c r="J55" s="5" t="s">
        <v>364</v>
      </c>
      <c r="K55" s="5" t="s">
        <v>365</v>
      </c>
      <c r="L55" s="5" t="s">
        <v>376</v>
      </c>
      <c r="M55" s="5" t="s">
        <v>377</v>
      </c>
      <c r="N55" s="5" t="s">
        <v>366</v>
      </c>
      <c r="O55" s="5" t="s">
        <v>366</v>
      </c>
    </row>
    <row r="56" spans="1:15">
      <c r="A56" s="38">
        <v>1</v>
      </c>
      <c r="B56" s="23" t="s">
        <v>26</v>
      </c>
      <c r="C56" s="290">
        <v>0.52900000000000003</v>
      </c>
      <c r="D56" s="192">
        <v>110000</v>
      </c>
      <c r="E56" s="257">
        <v>7642</v>
      </c>
      <c r="F56" s="260">
        <v>26268</v>
      </c>
      <c r="G56" s="260">
        <v>80000</v>
      </c>
      <c r="H56" s="260">
        <f>F56+G56-E56*3</f>
        <v>83342</v>
      </c>
      <c r="I56" s="260">
        <f>H56/E56</f>
        <v>10.905783826223502</v>
      </c>
      <c r="J56" s="260">
        <f>E56*12</f>
        <v>91704</v>
      </c>
      <c r="K56" s="260">
        <f>E56*4.1</f>
        <v>31332.199999999997</v>
      </c>
      <c r="L56" s="310">
        <f t="shared" ref="L56" si="21">E56*(15-I56)</f>
        <v>31288</v>
      </c>
      <c r="M56" s="310">
        <v>31500</v>
      </c>
      <c r="N56" s="310">
        <f>M56*C56</f>
        <v>16663.5</v>
      </c>
      <c r="O56" s="281">
        <f>C56*K56</f>
        <v>16574.733799999998</v>
      </c>
    </row>
    <row r="57" spans="1:15">
      <c r="A57" s="223"/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313">
        <f>SUM(N56)</f>
        <v>16663.5</v>
      </c>
      <c r="O57" s="301">
        <v>16574.73</v>
      </c>
    </row>
    <row r="58" spans="1:15">
      <c r="A58" s="347" t="s">
        <v>339</v>
      </c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</row>
    <row r="59" spans="1:15" ht="56.25">
      <c r="A59" s="15" t="s">
        <v>0</v>
      </c>
      <c r="B59" s="16" t="s">
        <v>1</v>
      </c>
      <c r="C59" s="5" t="s">
        <v>326</v>
      </c>
      <c r="D59" s="5" t="s">
        <v>360</v>
      </c>
      <c r="E59" s="5" t="s">
        <v>358</v>
      </c>
      <c r="F59" s="5" t="s">
        <v>359</v>
      </c>
      <c r="G59" s="5" t="s">
        <v>361</v>
      </c>
      <c r="H59" s="5" t="s">
        <v>362</v>
      </c>
      <c r="I59" s="5" t="s">
        <v>363</v>
      </c>
      <c r="J59" s="5" t="s">
        <v>364</v>
      </c>
      <c r="K59" s="5" t="s">
        <v>365</v>
      </c>
      <c r="L59" s="5" t="s">
        <v>376</v>
      </c>
      <c r="M59" s="5" t="s">
        <v>377</v>
      </c>
      <c r="N59" s="5" t="s">
        <v>366</v>
      </c>
      <c r="O59" s="5" t="s">
        <v>366</v>
      </c>
    </row>
    <row r="60" spans="1:15" ht="34.5">
      <c r="A60" s="38"/>
      <c r="B60" s="23" t="s">
        <v>27</v>
      </c>
      <c r="C60" s="192"/>
      <c r="D60" s="192">
        <v>0</v>
      </c>
      <c r="E60" s="259">
        <v>1.87</v>
      </c>
      <c r="F60" s="260">
        <v>306</v>
      </c>
      <c r="G60" s="260">
        <v>0</v>
      </c>
      <c r="H60" s="260">
        <f>F60+G60-E60*3</f>
        <v>300.39</v>
      </c>
      <c r="I60" s="260">
        <f>H60/E60</f>
        <v>160.63636363636363</v>
      </c>
      <c r="J60" s="260">
        <f>E60*12</f>
        <v>22.44</v>
      </c>
      <c r="K60" s="260">
        <v>0</v>
      </c>
      <c r="L60" s="310">
        <v>0</v>
      </c>
      <c r="M60" s="310"/>
      <c r="N60" s="279"/>
      <c r="O60" s="260"/>
    </row>
    <row r="61" spans="1:15" ht="23.25">
      <c r="A61" s="38">
        <v>1</v>
      </c>
      <c r="B61" s="22" t="s">
        <v>28</v>
      </c>
      <c r="C61" s="286">
        <v>74.599999999999994</v>
      </c>
      <c r="D61" s="192">
        <v>4800</v>
      </c>
      <c r="E61" s="257">
        <v>365.2</v>
      </c>
      <c r="F61" s="260">
        <v>852</v>
      </c>
      <c r="G61" s="260">
        <v>2000</v>
      </c>
      <c r="H61" s="260">
        <f t="shared" ref="H61:H63" si="22">F61+G61-E61*3</f>
        <v>1756.4</v>
      </c>
      <c r="I61" s="260">
        <f t="shared" ref="I61:I63" si="23">H61/E61</f>
        <v>4.8094194961664849</v>
      </c>
      <c r="J61" s="260">
        <f t="shared" ref="J61:J63" si="24">E61*12</f>
        <v>4382.3999999999996</v>
      </c>
      <c r="K61" s="260">
        <f>E61*10.2</f>
        <v>3725.0399999999995</v>
      </c>
      <c r="L61" s="310">
        <f t="shared" ref="L61" si="25">E61*(15-I61)</f>
        <v>3721.6</v>
      </c>
      <c r="M61" s="310">
        <v>3750</v>
      </c>
      <c r="N61" s="310">
        <f>M61*C61</f>
        <v>279750</v>
      </c>
      <c r="O61" s="281">
        <f>C61*K61</f>
        <v>277887.98399999994</v>
      </c>
    </row>
    <row r="62" spans="1:15" ht="23.25">
      <c r="A62" s="38"/>
      <c r="B62" s="23" t="s">
        <v>29</v>
      </c>
      <c r="C62" s="192"/>
      <c r="D62" s="192">
        <v>0</v>
      </c>
      <c r="E62" s="257">
        <v>5.75</v>
      </c>
      <c r="F62" s="260">
        <v>199</v>
      </c>
      <c r="G62" s="260">
        <v>0</v>
      </c>
      <c r="H62" s="260">
        <f t="shared" si="22"/>
        <v>181.75</v>
      </c>
      <c r="I62" s="260">
        <f t="shared" si="23"/>
        <v>31.608695652173914</v>
      </c>
      <c r="J62" s="260">
        <f t="shared" si="24"/>
        <v>69</v>
      </c>
      <c r="K62" s="260">
        <v>0</v>
      </c>
      <c r="L62" s="310">
        <v>0</v>
      </c>
      <c r="M62" s="310"/>
      <c r="N62" s="279"/>
      <c r="O62" s="260"/>
    </row>
    <row r="63" spans="1:15" ht="23.25">
      <c r="A63" s="38"/>
      <c r="B63" s="23" t="s">
        <v>30</v>
      </c>
      <c r="C63" s="192"/>
      <c r="D63" s="192">
        <v>0</v>
      </c>
      <c r="E63" s="267">
        <v>2688.8</v>
      </c>
      <c r="F63" s="260">
        <v>46300</v>
      </c>
      <c r="G63" s="260">
        <v>0</v>
      </c>
      <c r="H63" s="260">
        <f t="shared" si="22"/>
        <v>38233.599999999999</v>
      </c>
      <c r="I63" s="260">
        <f t="shared" si="23"/>
        <v>14.219577506694435</v>
      </c>
      <c r="J63" s="260">
        <f t="shared" si="24"/>
        <v>32265.600000000002</v>
      </c>
      <c r="K63" s="260">
        <v>37250</v>
      </c>
      <c r="L63" s="311">
        <v>37250</v>
      </c>
      <c r="M63" s="310">
        <v>37500</v>
      </c>
      <c r="N63" s="279"/>
      <c r="O63" s="260"/>
    </row>
    <row r="64" spans="1:15">
      <c r="N64" s="312">
        <f>SUM(N60:N63)</f>
        <v>279750</v>
      </c>
      <c r="O64" s="299">
        <v>277887.98</v>
      </c>
    </row>
    <row r="65" spans="1:16">
      <c r="A65" s="347" t="s">
        <v>340</v>
      </c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</row>
    <row r="66" spans="1:16" ht="56.25">
      <c r="A66" s="3" t="s">
        <v>0</v>
      </c>
      <c r="B66" s="16" t="s">
        <v>1</v>
      </c>
      <c r="C66" s="5" t="s">
        <v>326</v>
      </c>
      <c r="D66" s="5" t="s">
        <v>360</v>
      </c>
      <c r="E66" s="5" t="s">
        <v>358</v>
      </c>
      <c r="F66" s="5" t="s">
        <v>359</v>
      </c>
      <c r="G66" s="5" t="s">
        <v>361</v>
      </c>
      <c r="H66" s="5" t="s">
        <v>362</v>
      </c>
      <c r="I66" s="5" t="s">
        <v>363</v>
      </c>
      <c r="J66" s="5" t="s">
        <v>364</v>
      </c>
      <c r="K66" s="5" t="s">
        <v>365</v>
      </c>
      <c r="L66" s="5" t="s">
        <v>376</v>
      </c>
      <c r="M66" s="5" t="s">
        <v>377</v>
      </c>
      <c r="N66" s="5" t="s">
        <v>366</v>
      </c>
      <c r="O66" s="5" t="s">
        <v>366</v>
      </c>
    </row>
    <row r="67" spans="1:16">
      <c r="A67" s="8">
        <v>1</v>
      </c>
      <c r="B67" s="23" t="s">
        <v>32</v>
      </c>
      <c r="C67" s="185">
        <v>50.6</v>
      </c>
      <c r="D67" s="192">
        <v>167</v>
      </c>
      <c r="E67" s="268">
        <v>21.274999999999999</v>
      </c>
      <c r="F67" s="260">
        <v>292.02249999999998</v>
      </c>
      <c r="G67" s="260">
        <v>0</v>
      </c>
      <c r="H67" s="260">
        <f>F67+G67-E67*3</f>
        <v>228.19749999999999</v>
      </c>
      <c r="I67" s="260">
        <f>H67/E67</f>
        <v>10.726086956521739</v>
      </c>
      <c r="J67" s="260">
        <f>E67*12</f>
        <v>255.29999999999998</v>
      </c>
      <c r="K67" s="260">
        <f>E67*4.3</f>
        <v>91.482499999999987</v>
      </c>
      <c r="L67" s="310">
        <f t="shared" ref="L67:L69" si="26">E67*(15-I67)</f>
        <v>90.927500000000009</v>
      </c>
      <c r="M67" s="310">
        <v>92</v>
      </c>
      <c r="N67" s="310">
        <f>M67*C67</f>
        <v>4655.2</v>
      </c>
      <c r="O67" s="281">
        <f>C67*K67</f>
        <v>4629.0144999999993</v>
      </c>
    </row>
    <row r="68" spans="1:16" ht="15.75">
      <c r="A68" s="8">
        <v>2</v>
      </c>
      <c r="B68" s="23" t="s">
        <v>31</v>
      </c>
      <c r="C68" s="185">
        <v>97.5</v>
      </c>
      <c r="D68" s="192">
        <v>449</v>
      </c>
      <c r="E68" s="267">
        <v>35.299999999999997</v>
      </c>
      <c r="F68" s="269">
        <v>72.474999999999994</v>
      </c>
      <c r="G68" s="276">
        <v>100</v>
      </c>
      <c r="H68" s="260">
        <f t="shared" ref="H68:H69" si="27">F68+G68-E68*3</f>
        <v>66.575000000000003</v>
      </c>
      <c r="I68" s="260">
        <f t="shared" ref="I68:I69" si="28">H68/E68</f>
        <v>1.8859773371104818</v>
      </c>
      <c r="J68" s="260">
        <f t="shared" ref="J68:J69" si="29">E68*12</f>
        <v>423.59999999999997</v>
      </c>
      <c r="K68" s="260">
        <f>E68*13.2</f>
        <v>465.95999999999992</v>
      </c>
      <c r="L68" s="310">
        <f t="shared" si="26"/>
        <v>462.92499999999995</v>
      </c>
      <c r="M68" s="310">
        <v>470</v>
      </c>
      <c r="N68" s="310">
        <f>M68*C68</f>
        <v>45825</v>
      </c>
      <c r="O68" s="281">
        <f t="shared" ref="O68:O69" si="30">C68*K68</f>
        <v>45431.099999999991</v>
      </c>
    </row>
    <row r="69" spans="1:16">
      <c r="A69" s="8">
        <v>3</v>
      </c>
      <c r="B69" s="23" t="s">
        <v>341</v>
      </c>
      <c r="C69" s="185">
        <v>114.3</v>
      </c>
      <c r="D69" s="192">
        <v>2237</v>
      </c>
      <c r="E69" s="192">
        <v>240</v>
      </c>
      <c r="F69" s="192">
        <v>719.41</v>
      </c>
      <c r="G69" s="192">
        <v>1121</v>
      </c>
      <c r="H69" s="260">
        <f t="shared" si="27"/>
        <v>1120.4099999999999</v>
      </c>
      <c r="I69" s="260">
        <f t="shared" si="28"/>
        <v>4.6683749999999993</v>
      </c>
      <c r="J69" s="260">
        <f t="shared" si="29"/>
        <v>2880</v>
      </c>
      <c r="K69" s="283">
        <f>E69*10.4</f>
        <v>2496</v>
      </c>
      <c r="L69" s="310">
        <f t="shared" si="26"/>
        <v>2479.59</v>
      </c>
      <c r="M69" s="310">
        <v>2500</v>
      </c>
      <c r="N69" s="310">
        <f>M69*C69</f>
        <v>285750</v>
      </c>
      <c r="O69" s="281">
        <f t="shared" si="30"/>
        <v>285292.79999999999</v>
      </c>
      <c r="P69" s="97"/>
    </row>
    <row r="70" spans="1:16">
      <c r="A70" s="45"/>
      <c r="B70" s="8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314">
        <f>SUM(N67:N69)</f>
        <v>336230.2</v>
      </c>
      <c r="O70" s="297">
        <f>O67+O68+O69</f>
        <v>335352.91449999996</v>
      </c>
    </row>
    <row r="71" spans="1:16">
      <c r="A71" s="484" t="s">
        <v>342</v>
      </c>
      <c r="B71" s="484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484"/>
    </row>
    <row r="72" spans="1:16" ht="56.25">
      <c r="A72" s="15" t="s">
        <v>0</v>
      </c>
      <c r="B72" s="16" t="s">
        <v>1</v>
      </c>
      <c r="C72" s="5" t="s">
        <v>326</v>
      </c>
      <c r="D72" s="5" t="s">
        <v>360</v>
      </c>
      <c r="E72" s="5" t="s">
        <v>358</v>
      </c>
      <c r="F72" s="5" t="s">
        <v>359</v>
      </c>
      <c r="G72" s="5" t="s">
        <v>361</v>
      </c>
      <c r="H72" s="5" t="s">
        <v>362</v>
      </c>
      <c r="I72" s="5" t="s">
        <v>363</v>
      </c>
      <c r="J72" s="5" t="s">
        <v>364</v>
      </c>
      <c r="K72" s="5" t="s">
        <v>365</v>
      </c>
      <c r="L72" s="5" t="s">
        <v>376</v>
      </c>
      <c r="M72" s="5" t="s">
        <v>377</v>
      </c>
      <c r="N72" s="5" t="s">
        <v>366</v>
      </c>
      <c r="O72" s="5" t="s">
        <v>366</v>
      </c>
    </row>
    <row r="73" spans="1:16">
      <c r="A73" s="24">
        <v>1</v>
      </c>
      <c r="B73" s="25" t="s">
        <v>33</v>
      </c>
      <c r="C73" s="289">
        <v>82.5</v>
      </c>
      <c r="D73" s="192">
        <v>3200</v>
      </c>
      <c r="E73" s="192">
        <v>381.1</v>
      </c>
      <c r="F73" s="192">
        <v>692</v>
      </c>
      <c r="G73" s="192">
        <v>0</v>
      </c>
      <c r="H73" s="192">
        <f>F73+G73-E73*3</f>
        <v>-451.30000000000018</v>
      </c>
      <c r="I73" s="192">
        <f>H73/E73</f>
        <v>-1.1842036210968254</v>
      </c>
      <c r="J73" s="185">
        <f>E73*12</f>
        <v>4573.2000000000007</v>
      </c>
      <c r="K73" s="185">
        <f>E73*15</f>
        <v>5716.5</v>
      </c>
      <c r="L73" s="310">
        <f>E73*(15-I73)</f>
        <v>6167.8</v>
      </c>
      <c r="M73" s="310">
        <v>6200</v>
      </c>
      <c r="N73" s="310">
        <f>M73*C73</f>
        <v>511500</v>
      </c>
      <c r="O73" s="185">
        <f>C73*K73</f>
        <v>471611.25</v>
      </c>
    </row>
    <row r="74" spans="1:16">
      <c r="A74" s="26">
        <v>2</v>
      </c>
      <c r="B74" s="29" t="s">
        <v>34</v>
      </c>
      <c r="C74" s="289">
        <v>140</v>
      </c>
      <c r="D74" s="192">
        <v>14400</v>
      </c>
      <c r="E74" s="192">
        <v>1195.2</v>
      </c>
      <c r="F74" s="192">
        <v>2450</v>
      </c>
      <c r="G74" s="192">
        <v>4000</v>
      </c>
      <c r="H74" s="192">
        <f t="shared" ref="H74:H78" si="31">F74+G74-E74*3</f>
        <v>2864.3999999999996</v>
      </c>
      <c r="I74" s="192">
        <f t="shared" ref="I74:I78" si="32">H74/E74</f>
        <v>2.3965863453815257</v>
      </c>
      <c r="J74" s="185">
        <f t="shared" ref="J74:J78" si="33">E74*12</f>
        <v>14342.400000000001</v>
      </c>
      <c r="K74" s="185">
        <f>E74*13</f>
        <v>15537.6</v>
      </c>
      <c r="L74" s="310">
        <f t="shared" ref="L74:L78" si="34">E74*(15-I74)</f>
        <v>15063.600000000002</v>
      </c>
      <c r="M74" s="310">
        <v>15100</v>
      </c>
      <c r="N74" s="310">
        <f t="shared" ref="N74:N78" si="35">M74*C74</f>
        <v>2114000</v>
      </c>
      <c r="O74" s="185">
        <f t="shared" ref="O74:O78" si="36">C74*K74</f>
        <v>2175264</v>
      </c>
    </row>
    <row r="75" spans="1:16" ht="23.25">
      <c r="A75" s="24">
        <v>3</v>
      </c>
      <c r="B75" s="27" t="s">
        <v>35</v>
      </c>
      <c r="C75" s="289">
        <v>275</v>
      </c>
      <c r="D75" s="192">
        <v>440</v>
      </c>
      <c r="E75" s="192">
        <v>46.6</v>
      </c>
      <c r="F75" s="192">
        <v>25</v>
      </c>
      <c r="G75" s="192">
        <v>0</v>
      </c>
      <c r="H75" s="192">
        <f t="shared" si="31"/>
        <v>-114.80000000000001</v>
      </c>
      <c r="I75" s="192">
        <f t="shared" si="32"/>
        <v>-2.4635193133047211</v>
      </c>
      <c r="J75" s="185">
        <f t="shared" si="33"/>
        <v>559.20000000000005</v>
      </c>
      <c r="K75" s="185">
        <f>E75*15</f>
        <v>699</v>
      </c>
      <c r="L75" s="310">
        <f t="shared" si="34"/>
        <v>813.80000000000007</v>
      </c>
      <c r="M75" s="310">
        <v>814</v>
      </c>
      <c r="N75" s="310">
        <f t="shared" si="35"/>
        <v>223850</v>
      </c>
      <c r="O75" s="185">
        <f t="shared" si="36"/>
        <v>192225</v>
      </c>
    </row>
    <row r="76" spans="1:16">
      <c r="A76" s="26">
        <v>4</v>
      </c>
      <c r="B76" s="28" t="s">
        <v>36</v>
      </c>
      <c r="C76" s="289">
        <v>449.5</v>
      </c>
      <c r="D76" s="192">
        <v>320</v>
      </c>
      <c r="E76" s="192">
        <v>38.5</v>
      </c>
      <c r="F76" s="192">
        <v>172</v>
      </c>
      <c r="G76" s="192">
        <v>0</v>
      </c>
      <c r="H76" s="192">
        <f t="shared" si="31"/>
        <v>56.5</v>
      </c>
      <c r="I76" s="192">
        <f t="shared" si="32"/>
        <v>1.4675324675324675</v>
      </c>
      <c r="J76" s="185">
        <f t="shared" si="33"/>
        <v>462</v>
      </c>
      <c r="K76" s="185">
        <f>E76*14</f>
        <v>539</v>
      </c>
      <c r="L76" s="310">
        <f t="shared" si="34"/>
        <v>521</v>
      </c>
      <c r="M76" s="310">
        <v>521</v>
      </c>
      <c r="N76" s="310">
        <f t="shared" si="35"/>
        <v>234189.5</v>
      </c>
      <c r="O76" s="185">
        <f t="shared" si="36"/>
        <v>242280.5</v>
      </c>
    </row>
    <row r="77" spans="1:16">
      <c r="A77" s="24">
        <v>5</v>
      </c>
      <c r="B77" s="23" t="s">
        <v>37</v>
      </c>
      <c r="C77" s="289">
        <f>670*2.4</f>
        <v>1608</v>
      </c>
      <c r="D77" s="192">
        <v>90</v>
      </c>
      <c r="E77" s="267">
        <v>7.5</v>
      </c>
      <c r="F77" s="192">
        <v>16</v>
      </c>
      <c r="G77" s="192">
        <v>0</v>
      </c>
      <c r="H77" s="192">
        <f t="shared" si="31"/>
        <v>-6.5</v>
      </c>
      <c r="I77" s="192">
        <f t="shared" si="32"/>
        <v>-0.8666666666666667</v>
      </c>
      <c r="J77" s="185">
        <f t="shared" si="33"/>
        <v>90</v>
      </c>
      <c r="K77" s="185">
        <f>E77*15</f>
        <v>112.5</v>
      </c>
      <c r="L77" s="310">
        <f t="shared" si="34"/>
        <v>119</v>
      </c>
      <c r="M77" s="310">
        <v>119</v>
      </c>
      <c r="N77" s="310">
        <f t="shared" si="35"/>
        <v>191352</v>
      </c>
      <c r="O77" s="185">
        <f t="shared" si="36"/>
        <v>180900</v>
      </c>
    </row>
    <row r="78" spans="1:16" ht="23.25">
      <c r="A78" s="26">
        <v>6</v>
      </c>
      <c r="B78" s="22" t="s">
        <v>57</v>
      </c>
      <c r="C78" s="289">
        <v>1320</v>
      </c>
      <c r="D78" s="192">
        <v>400</v>
      </c>
      <c r="E78" s="267">
        <v>29.2</v>
      </c>
      <c r="F78" s="192">
        <v>95</v>
      </c>
      <c r="G78" s="192">
        <v>0</v>
      </c>
      <c r="H78" s="192">
        <f t="shared" si="31"/>
        <v>7.4000000000000057</v>
      </c>
      <c r="I78" s="192">
        <f t="shared" si="32"/>
        <v>0.25342465753424676</v>
      </c>
      <c r="J78" s="185">
        <f t="shared" si="33"/>
        <v>350.4</v>
      </c>
      <c r="K78" s="185">
        <f>E78*15</f>
        <v>438</v>
      </c>
      <c r="L78" s="310">
        <f t="shared" si="34"/>
        <v>430.59999999999997</v>
      </c>
      <c r="M78" s="310">
        <v>431</v>
      </c>
      <c r="N78" s="310">
        <f t="shared" si="35"/>
        <v>568920</v>
      </c>
      <c r="O78" s="185">
        <f t="shared" si="36"/>
        <v>578160</v>
      </c>
    </row>
    <row r="79" spans="1:16" ht="23.25">
      <c r="A79" s="26">
        <v>7</v>
      </c>
      <c r="B79" s="29" t="s">
        <v>65</v>
      </c>
      <c r="C79" s="485" t="s">
        <v>343</v>
      </c>
      <c r="D79" s="486"/>
      <c r="E79" s="486"/>
      <c r="F79" s="486"/>
      <c r="G79" s="486"/>
      <c r="H79" s="486"/>
      <c r="I79" s="486"/>
      <c r="J79" s="486"/>
      <c r="K79" s="486"/>
      <c r="L79" s="486"/>
      <c r="M79" s="486"/>
      <c r="N79" s="486"/>
      <c r="O79" s="486"/>
      <c r="P79" s="237"/>
    </row>
    <row r="80" spans="1:16">
      <c r="A80" s="38"/>
      <c r="B80" s="2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315">
        <f>N73+N74+N75+N76+N77+N78</f>
        <v>3843811.5</v>
      </c>
      <c r="O80" s="302">
        <v>3840440.75</v>
      </c>
    </row>
    <row r="81" spans="1:16">
      <c r="A81" s="345" t="s">
        <v>344</v>
      </c>
      <c r="B81" s="345"/>
      <c r="C81" s="345"/>
      <c r="D81" s="345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</row>
    <row r="82" spans="1:16" ht="56.25">
      <c r="A82" s="15" t="s">
        <v>0</v>
      </c>
      <c r="B82" s="16" t="s">
        <v>1</v>
      </c>
      <c r="C82" s="5" t="s">
        <v>326</v>
      </c>
      <c r="D82" s="5" t="s">
        <v>360</v>
      </c>
      <c r="E82" s="5" t="s">
        <v>358</v>
      </c>
      <c r="F82" s="5" t="s">
        <v>359</v>
      </c>
      <c r="G82" s="5" t="s">
        <v>361</v>
      </c>
      <c r="H82" s="5" t="s">
        <v>362</v>
      </c>
      <c r="I82" s="5" t="s">
        <v>363</v>
      </c>
      <c r="J82" s="5" t="s">
        <v>364</v>
      </c>
      <c r="K82" s="5" t="s">
        <v>365</v>
      </c>
      <c r="L82" s="5" t="s">
        <v>376</v>
      </c>
      <c r="M82" s="5" t="s">
        <v>377</v>
      </c>
      <c r="N82" s="5" t="s">
        <v>366</v>
      </c>
      <c r="O82" s="5" t="s">
        <v>366</v>
      </c>
    </row>
    <row r="83" spans="1:16">
      <c r="A83" s="40"/>
      <c r="B83" s="41" t="s">
        <v>83</v>
      </c>
      <c r="C83" s="286">
        <v>481.44</v>
      </c>
      <c r="D83" s="192">
        <v>585</v>
      </c>
      <c r="E83" s="257">
        <v>47.6</v>
      </c>
      <c r="F83" s="277">
        <v>313</v>
      </c>
      <c r="G83" s="192">
        <v>0</v>
      </c>
      <c r="H83" s="192">
        <f>F83+G83-E83*3</f>
        <v>170.2</v>
      </c>
      <c r="I83" s="192">
        <f>H83/E83</f>
        <v>3.5756302521008401</v>
      </c>
      <c r="J83" s="192">
        <f>E83*12</f>
        <v>571.20000000000005</v>
      </c>
      <c r="K83" s="192">
        <f>E83*11</f>
        <v>523.6</v>
      </c>
      <c r="L83" s="310">
        <f t="shared" ref="L83:L86" si="37">E83*(15-I83)</f>
        <v>543.80000000000007</v>
      </c>
      <c r="M83" s="310">
        <v>545</v>
      </c>
      <c r="N83" s="310">
        <f>M83*C83</f>
        <v>262384.8</v>
      </c>
      <c r="O83" s="192">
        <f>C83*K83</f>
        <v>252081.984</v>
      </c>
    </row>
    <row r="84" spans="1:16" ht="22.5">
      <c r="A84" s="40"/>
      <c r="B84" s="41" t="s">
        <v>84</v>
      </c>
      <c r="C84" s="286">
        <v>1205.04</v>
      </c>
      <c r="D84" s="192">
        <v>113</v>
      </c>
      <c r="E84" s="257">
        <v>15.4</v>
      </c>
      <c r="F84" s="277">
        <v>114</v>
      </c>
      <c r="G84" s="192">
        <v>0</v>
      </c>
      <c r="H84" s="192">
        <f t="shared" ref="H84:H86" si="38">F84+G84-E84*3</f>
        <v>67.8</v>
      </c>
      <c r="I84" s="192">
        <f t="shared" ref="I84:I86" si="39">H84/E84</f>
        <v>4.4025974025974026</v>
      </c>
      <c r="J84" s="192">
        <f t="shared" ref="J84:J86" si="40">E84*12</f>
        <v>184.8</v>
      </c>
      <c r="K84" s="192">
        <f>E84*11</f>
        <v>169.4</v>
      </c>
      <c r="L84" s="310">
        <f t="shared" si="37"/>
        <v>163.20000000000002</v>
      </c>
      <c r="M84" s="310">
        <v>165</v>
      </c>
      <c r="N84" s="310">
        <f t="shared" ref="N84:N86" si="41">M84*C84</f>
        <v>198831.6</v>
      </c>
      <c r="O84" s="192">
        <f t="shared" ref="O84:O86" si="42">C84*K84</f>
        <v>204133.77600000001</v>
      </c>
    </row>
    <row r="85" spans="1:16">
      <c r="A85" s="40"/>
      <c r="B85" s="41" t="s">
        <v>45</v>
      </c>
      <c r="C85" s="192">
        <v>254</v>
      </c>
      <c r="D85" s="192">
        <v>204</v>
      </c>
      <c r="E85" s="257">
        <v>12</v>
      </c>
      <c r="F85" s="278">
        <v>132</v>
      </c>
      <c r="G85" s="192">
        <v>0</v>
      </c>
      <c r="H85" s="192">
        <f t="shared" si="38"/>
        <v>96</v>
      </c>
      <c r="I85" s="192">
        <f t="shared" si="39"/>
        <v>8</v>
      </c>
      <c r="J85" s="192">
        <f t="shared" si="40"/>
        <v>144</v>
      </c>
      <c r="K85" s="192">
        <f>E85*13</f>
        <v>156</v>
      </c>
      <c r="L85" s="310">
        <f t="shared" si="37"/>
        <v>84</v>
      </c>
      <c r="M85" s="310">
        <v>85</v>
      </c>
      <c r="N85" s="310">
        <f t="shared" si="41"/>
        <v>21590</v>
      </c>
      <c r="O85" s="192">
        <f t="shared" si="42"/>
        <v>39624</v>
      </c>
    </row>
    <row r="86" spans="1:16">
      <c r="A86" s="40"/>
      <c r="B86" s="41" t="s">
        <v>64</v>
      </c>
      <c r="C86" s="192">
        <v>502</v>
      </c>
      <c r="D86" s="192">
        <v>20</v>
      </c>
      <c r="E86" s="257">
        <v>13.3</v>
      </c>
      <c r="F86" s="278">
        <v>4</v>
      </c>
      <c r="G86" s="192">
        <v>0</v>
      </c>
      <c r="H86" s="192">
        <f t="shared" si="38"/>
        <v>-35.900000000000006</v>
      </c>
      <c r="I86" s="192">
        <f t="shared" si="39"/>
        <v>-2.6992481203007523</v>
      </c>
      <c r="J86" s="192">
        <f t="shared" si="40"/>
        <v>159.60000000000002</v>
      </c>
      <c r="K86" s="192">
        <f>E86*15</f>
        <v>199.5</v>
      </c>
      <c r="L86" s="310">
        <f t="shared" si="37"/>
        <v>235.4</v>
      </c>
      <c r="M86" s="310">
        <v>240</v>
      </c>
      <c r="N86" s="310">
        <f t="shared" si="41"/>
        <v>120480</v>
      </c>
      <c r="O86" s="192">
        <f t="shared" si="42"/>
        <v>100149</v>
      </c>
    </row>
    <row r="87" spans="1:16">
      <c r="A87" s="38"/>
      <c r="B87" s="2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315">
        <f>SUM(N83:N86)</f>
        <v>603286.4</v>
      </c>
      <c r="O87" s="287">
        <v>595989</v>
      </c>
    </row>
    <row r="88" spans="1:16">
      <c r="A88" s="345" t="s">
        <v>345</v>
      </c>
      <c r="B88" s="345"/>
      <c r="C88" s="345"/>
      <c r="D88" s="345"/>
      <c r="E88" s="345"/>
      <c r="F88" s="345"/>
      <c r="G88" s="345"/>
      <c r="H88" s="345"/>
      <c r="I88" s="345"/>
      <c r="J88" s="345"/>
      <c r="K88" s="345"/>
      <c r="L88" s="345"/>
      <c r="M88" s="345"/>
      <c r="N88" s="345"/>
      <c r="O88" s="345"/>
    </row>
    <row r="89" spans="1:16" ht="56.25">
      <c r="A89" s="15" t="s">
        <v>0</v>
      </c>
      <c r="B89" s="16" t="s">
        <v>1</v>
      </c>
      <c r="C89" s="5" t="s">
        <v>326</v>
      </c>
      <c r="D89" s="5" t="s">
        <v>360</v>
      </c>
      <c r="E89" s="5" t="s">
        <v>358</v>
      </c>
      <c r="F89" s="5" t="s">
        <v>359</v>
      </c>
      <c r="G89" s="5" t="s">
        <v>361</v>
      </c>
      <c r="H89" s="5" t="s">
        <v>362</v>
      </c>
      <c r="I89" s="5" t="s">
        <v>363</v>
      </c>
      <c r="J89" s="5" t="s">
        <v>364</v>
      </c>
      <c r="K89" s="5" t="s">
        <v>365</v>
      </c>
      <c r="L89" s="5" t="s">
        <v>376</v>
      </c>
      <c r="M89" s="5" t="s">
        <v>377</v>
      </c>
      <c r="N89" s="5" t="s">
        <v>366</v>
      </c>
      <c r="O89" s="5" t="s">
        <v>366</v>
      </c>
    </row>
    <row r="90" spans="1:16" ht="45.75">
      <c r="A90" s="38"/>
      <c r="B90" s="23" t="s">
        <v>61</v>
      </c>
      <c r="C90" s="185">
        <v>46.59</v>
      </c>
      <c r="D90" s="192">
        <v>4700</v>
      </c>
      <c r="E90" s="267">
        <v>347.1</v>
      </c>
      <c r="F90" s="260">
        <v>6415</v>
      </c>
      <c r="G90" s="260">
        <v>0</v>
      </c>
      <c r="H90" s="260">
        <f>F90+G90-E90*3</f>
        <v>5373.7</v>
      </c>
      <c r="I90" s="260">
        <f>H90/E90</f>
        <v>15.481705560357245</v>
      </c>
      <c r="J90" s="260">
        <f>E90*12</f>
        <v>4165.2000000000007</v>
      </c>
      <c r="K90" s="260">
        <f>E90*6</f>
        <v>2082.6000000000004</v>
      </c>
      <c r="L90" s="310">
        <f t="shared" ref="L90" si="43">E90*(15-I90)</f>
        <v>-167.1999999999997</v>
      </c>
      <c r="M90" s="310">
        <v>2100</v>
      </c>
      <c r="N90" s="310">
        <f>M90*C90</f>
        <v>97839</v>
      </c>
      <c r="O90" s="281">
        <f>C90*K90</f>
        <v>97028.334000000017</v>
      </c>
      <c r="P90" s="237" t="s">
        <v>346</v>
      </c>
    </row>
    <row r="91" spans="1:16">
      <c r="A91" s="38"/>
      <c r="B91" s="2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310">
        <f>SUM(N90)</f>
        <v>97839</v>
      </c>
      <c r="O91" s="301">
        <v>97028.33</v>
      </c>
    </row>
    <row r="92" spans="1:16" ht="15.75">
      <c r="A92" s="8"/>
      <c r="B92" s="128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316">
        <f>N91+N87+N80+N70+N64+N57+N53</f>
        <v>5192214.1000000006</v>
      </c>
      <c r="O92" s="303">
        <f>O91+O87+O80+O70+O64+O57+O53</f>
        <v>5172053.8045000006</v>
      </c>
    </row>
    <row r="93" spans="1:16">
      <c r="A93" s="247"/>
      <c r="B93" s="248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</row>
    <row r="94" spans="1:16">
      <c r="A94" s="460" t="s">
        <v>347</v>
      </c>
      <c r="B94" s="460"/>
      <c r="C94" s="460"/>
      <c r="D94" s="460"/>
      <c r="E94" s="460"/>
      <c r="F94" s="460"/>
      <c r="G94" s="460"/>
      <c r="H94" s="460"/>
      <c r="I94" s="460"/>
      <c r="J94" s="460"/>
      <c r="K94" s="460"/>
      <c r="L94" s="460"/>
      <c r="M94" s="460"/>
      <c r="N94" s="460"/>
      <c r="O94" s="460"/>
    </row>
    <row r="95" spans="1:16">
      <c r="A95" s="345" t="s">
        <v>348</v>
      </c>
      <c r="B95" s="345"/>
      <c r="C95" s="345"/>
      <c r="D95" s="345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</row>
    <row r="96" spans="1:16" ht="45">
      <c r="A96" s="15" t="s">
        <v>0</v>
      </c>
      <c r="B96" s="16" t="s">
        <v>1</v>
      </c>
      <c r="C96" s="5" t="s">
        <v>326</v>
      </c>
      <c r="D96" s="5" t="s">
        <v>360</v>
      </c>
      <c r="E96" s="5" t="s">
        <v>358</v>
      </c>
      <c r="F96" s="5" t="s">
        <v>359</v>
      </c>
      <c r="G96" s="5" t="s">
        <v>361</v>
      </c>
      <c r="H96" s="5" t="s">
        <v>362</v>
      </c>
      <c r="I96" s="5" t="s">
        <v>363</v>
      </c>
      <c r="J96" s="5" t="s">
        <v>364</v>
      </c>
      <c r="K96" s="5" t="s">
        <v>365</v>
      </c>
      <c r="L96" s="5"/>
      <c r="M96" s="5"/>
      <c r="N96" s="5"/>
      <c r="O96" s="5" t="s">
        <v>366</v>
      </c>
    </row>
    <row r="97" spans="1:16" ht="22.5">
      <c r="A97" s="15">
        <v>1</v>
      </c>
      <c r="B97" s="21" t="s">
        <v>85</v>
      </c>
      <c r="C97" s="288">
        <v>1.98</v>
      </c>
      <c r="D97" s="192">
        <v>32500</v>
      </c>
      <c r="E97" s="192">
        <v>3300.4</v>
      </c>
      <c r="F97" s="260">
        <v>4087</v>
      </c>
      <c r="G97" s="260">
        <v>0</v>
      </c>
      <c r="H97" s="260">
        <f>F97+G97-E97*3</f>
        <v>-5814.2000000000007</v>
      </c>
      <c r="I97" s="281">
        <f>H97/E97</f>
        <v>-1.761665252696643</v>
      </c>
      <c r="J97" s="281">
        <f>E97*12</f>
        <v>39604.800000000003</v>
      </c>
      <c r="K97" s="281">
        <f>E97*15</f>
        <v>49506</v>
      </c>
      <c r="L97" s="279">
        <f t="shared" ref="L97:L103" si="44">E97*(15-I97)</f>
        <v>55320.200000000004</v>
      </c>
      <c r="M97" s="279"/>
      <c r="N97" s="279"/>
      <c r="O97" s="281">
        <f>C97*K97</f>
        <v>98021.88</v>
      </c>
      <c r="P97" s="354" t="s">
        <v>349</v>
      </c>
    </row>
    <row r="98" spans="1:16" ht="22.5">
      <c r="A98" s="15">
        <v>2</v>
      </c>
      <c r="B98" s="21" t="s">
        <v>86</v>
      </c>
      <c r="C98" s="288">
        <v>0.5</v>
      </c>
      <c r="D98" s="192">
        <v>78000</v>
      </c>
      <c r="E98" s="192">
        <v>5092</v>
      </c>
      <c r="F98" s="260">
        <v>28330</v>
      </c>
      <c r="G98" s="260">
        <v>0</v>
      </c>
      <c r="H98" s="260">
        <f t="shared" ref="H98:H103" si="45">F98+G98-E98*3</f>
        <v>13054</v>
      </c>
      <c r="I98" s="281">
        <f t="shared" ref="I98:I103" si="46">H98/E98</f>
        <v>2.5636292223095052</v>
      </c>
      <c r="J98" s="281">
        <f t="shared" ref="J98:J103" si="47">E98*12</f>
        <v>61104</v>
      </c>
      <c r="K98" s="281">
        <f>3600*15</f>
        <v>54000</v>
      </c>
      <c r="L98" s="279">
        <f t="shared" si="44"/>
        <v>63326</v>
      </c>
      <c r="M98" s="279"/>
      <c r="N98" s="279"/>
      <c r="O98" s="281">
        <f t="shared" ref="O98:O103" si="48">C98*K98</f>
        <v>27000</v>
      </c>
      <c r="P98" s="354"/>
    </row>
    <row r="99" spans="1:16" ht="22.5">
      <c r="A99" s="15">
        <v>3</v>
      </c>
      <c r="B99" s="21" t="s">
        <v>87</v>
      </c>
      <c r="C99" s="288">
        <v>0.97</v>
      </c>
      <c r="D99" s="192">
        <v>12000</v>
      </c>
      <c r="E99" s="192">
        <v>2965.4</v>
      </c>
      <c r="F99" s="250">
        <v>0</v>
      </c>
      <c r="G99" s="260">
        <v>0</v>
      </c>
      <c r="H99" s="260">
        <f t="shared" si="45"/>
        <v>-8896.2000000000007</v>
      </c>
      <c r="I99" s="281">
        <f t="shared" si="46"/>
        <v>-3</v>
      </c>
      <c r="J99" s="281">
        <f t="shared" si="47"/>
        <v>35584.800000000003</v>
      </c>
      <c r="K99" s="281">
        <f>E99*15</f>
        <v>44481</v>
      </c>
      <c r="L99" s="279">
        <f t="shared" si="44"/>
        <v>53377.200000000004</v>
      </c>
      <c r="M99" s="279"/>
      <c r="N99" s="279"/>
      <c r="O99" s="281">
        <f t="shared" si="48"/>
        <v>43146.57</v>
      </c>
      <c r="P99" s="354"/>
    </row>
    <row r="100" spans="1:16" ht="23.25">
      <c r="A100" s="15">
        <v>4</v>
      </c>
      <c r="B100" s="22" t="s">
        <v>56</v>
      </c>
      <c r="C100" s="288">
        <f>0.135*2.4</f>
        <v>0.32400000000000001</v>
      </c>
      <c r="D100" s="192">
        <v>300000</v>
      </c>
      <c r="E100" s="192">
        <v>31215</v>
      </c>
      <c r="F100" s="192">
        <v>268233</v>
      </c>
      <c r="G100" s="260">
        <v>0</v>
      </c>
      <c r="H100" s="260">
        <f t="shared" si="45"/>
        <v>174588</v>
      </c>
      <c r="I100" s="281">
        <f t="shared" si="46"/>
        <v>5.5930802498798657</v>
      </c>
      <c r="J100" s="281">
        <f t="shared" si="47"/>
        <v>374580</v>
      </c>
      <c r="K100" s="281">
        <f>E100*15</f>
        <v>468225</v>
      </c>
      <c r="L100" s="279">
        <f t="shared" si="44"/>
        <v>293637</v>
      </c>
      <c r="M100" s="279"/>
      <c r="N100" s="279"/>
      <c r="O100" s="281">
        <f t="shared" si="48"/>
        <v>151704.9</v>
      </c>
    </row>
    <row r="101" spans="1:16">
      <c r="A101" s="15">
        <v>5</v>
      </c>
      <c r="B101" s="23" t="s">
        <v>62</v>
      </c>
      <c r="C101" s="288">
        <v>0.40300000000000002</v>
      </c>
      <c r="D101" s="192">
        <v>88500</v>
      </c>
      <c r="E101" s="192">
        <v>8372.7999999999993</v>
      </c>
      <c r="F101" s="260">
        <v>81733</v>
      </c>
      <c r="G101" s="260">
        <v>0</v>
      </c>
      <c r="H101" s="260">
        <f t="shared" si="45"/>
        <v>56614.600000000006</v>
      </c>
      <c r="I101" s="281">
        <f t="shared" si="46"/>
        <v>6.76172845404166</v>
      </c>
      <c r="J101" s="281">
        <f t="shared" si="47"/>
        <v>100473.59999999999</v>
      </c>
      <c r="K101" s="281">
        <f>E101*8.3</f>
        <v>69494.240000000005</v>
      </c>
      <c r="L101" s="279">
        <f t="shared" si="44"/>
        <v>68977.399999999994</v>
      </c>
      <c r="M101" s="279"/>
      <c r="N101" s="279"/>
      <c r="O101" s="281">
        <f t="shared" si="48"/>
        <v>28006.178720000004</v>
      </c>
    </row>
    <row r="102" spans="1:16">
      <c r="A102" s="15">
        <v>6</v>
      </c>
      <c r="B102" s="23" t="s">
        <v>63</v>
      </c>
      <c r="C102" s="288">
        <v>0.79300000000000004</v>
      </c>
      <c r="D102" s="192">
        <v>300000</v>
      </c>
      <c r="E102" s="192">
        <v>25720</v>
      </c>
      <c r="F102" s="260">
        <v>76567</v>
      </c>
      <c r="G102" s="260">
        <v>60000</v>
      </c>
      <c r="H102" s="260">
        <f t="shared" si="45"/>
        <v>59407</v>
      </c>
      <c r="I102" s="281">
        <f t="shared" si="46"/>
        <v>2.3097589424572318</v>
      </c>
      <c r="J102" s="281">
        <f t="shared" si="47"/>
        <v>308640</v>
      </c>
      <c r="K102" s="281">
        <f>E102*12.7</f>
        <v>326644</v>
      </c>
      <c r="L102" s="279">
        <f t="shared" si="44"/>
        <v>326393</v>
      </c>
      <c r="M102" s="279"/>
      <c r="N102" s="279"/>
      <c r="O102" s="281">
        <f t="shared" si="48"/>
        <v>259028.69200000001</v>
      </c>
    </row>
    <row r="103" spans="1:16">
      <c r="A103" s="15">
        <v>7</v>
      </c>
      <c r="B103" s="22" t="s">
        <v>42</v>
      </c>
      <c r="C103" s="288">
        <v>3.16</v>
      </c>
      <c r="D103" s="192">
        <v>32160</v>
      </c>
      <c r="E103" s="257">
        <v>2783.3</v>
      </c>
      <c r="F103" s="192">
        <v>7204</v>
      </c>
      <c r="G103" s="192">
        <v>0</v>
      </c>
      <c r="H103" s="260">
        <f t="shared" si="45"/>
        <v>-1145.9000000000015</v>
      </c>
      <c r="I103" s="281">
        <f t="shared" si="46"/>
        <v>-0.4117055294075383</v>
      </c>
      <c r="J103" s="281">
        <f t="shared" si="47"/>
        <v>33399.600000000006</v>
      </c>
      <c r="K103" s="281">
        <f>E103*15</f>
        <v>41749.5</v>
      </c>
      <c r="L103" s="279">
        <f t="shared" si="44"/>
        <v>42895.4</v>
      </c>
      <c r="M103" s="279"/>
      <c r="N103" s="279"/>
      <c r="O103" s="281">
        <f t="shared" si="48"/>
        <v>131928.42000000001</v>
      </c>
    </row>
    <row r="104" spans="1:16">
      <c r="A104" s="15"/>
      <c r="B104" s="5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98">
        <f>O97+O98+O99+O100+O101+O102+O103</f>
        <v>738836.64072000002</v>
      </c>
    </row>
    <row r="105" spans="1:16">
      <c r="A105" s="15"/>
      <c r="B105" s="23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304">
        <v>738836.64</v>
      </c>
    </row>
    <row r="106" spans="1:16">
      <c r="A106" s="251"/>
      <c r="B106" s="252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</row>
    <row r="107" spans="1:16">
      <c r="A107" s="460" t="s">
        <v>350</v>
      </c>
      <c r="B107" s="460"/>
      <c r="C107" s="460"/>
      <c r="D107" s="460"/>
      <c r="E107" s="460"/>
      <c r="F107" s="460"/>
      <c r="G107" s="460"/>
      <c r="H107" s="460"/>
      <c r="I107" s="460"/>
      <c r="J107" s="460"/>
      <c r="K107" s="460"/>
      <c r="L107" s="460"/>
      <c r="M107" s="460"/>
      <c r="N107" s="460"/>
      <c r="O107" s="460"/>
    </row>
    <row r="108" spans="1:16">
      <c r="A108" s="467" t="s">
        <v>351</v>
      </c>
      <c r="B108" s="467"/>
      <c r="C108" s="467"/>
      <c r="D108" s="467"/>
      <c r="E108" s="467"/>
      <c r="F108" s="467"/>
      <c r="G108" s="467"/>
      <c r="H108" s="467"/>
      <c r="I108" s="467"/>
      <c r="J108" s="467"/>
      <c r="K108" s="467"/>
      <c r="L108" s="467"/>
      <c r="M108" s="467"/>
      <c r="N108" s="467"/>
      <c r="O108" s="467"/>
    </row>
    <row r="109" spans="1:16" ht="45">
      <c r="A109" s="15" t="s">
        <v>0</v>
      </c>
      <c r="B109" s="16" t="s">
        <v>1</v>
      </c>
      <c r="C109" s="5" t="s">
        <v>326</v>
      </c>
      <c r="D109" s="5" t="s">
        <v>360</v>
      </c>
      <c r="E109" s="5" t="s">
        <v>358</v>
      </c>
      <c r="F109" s="5" t="s">
        <v>359</v>
      </c>
      <c r="G109" s="5" t="s">
        <v>361</v>
      </c>
      <c r="H109" s="5" t="s">
        <v>362</v>
      </c>
      <c r="I109" s="5" t="s">
        <v>363</v>
      </c>
      <c r="J109" s="5" t="s">
        <v>364</v>
      </c>
      <c r="K109" s="5" t="s">
        <v>365</v>
      </c>
      <c r="L109" s="5"/>
      <c r="M109" s="5"/>
      <c r="N109" s="5"/>
      <c r="O109" s="5" t="s">
        <v>366</v>
      </c>
    </row>
    <row r="110" spans="1:16" ht="45.75">
      <c r="A110" s="17">
        <v>1</v>
      </c>
      <c r="B110" s="35" t="s">
        <v>43</v>
      </c>
      <c r="C110" s="305">
        <v>1.3319703E-2</v>
      </c>
      <c r="D110" s="192">
        <v>1701390</v>
      </c>
      <c r="E110" s="192">
        <v>49214</v>
      </c>
      <c r="F110" s="260">
        <v>74648</v>
      </c>
      <c r="G110" s="260">
        <v>0</v>
      </c>
      <c r="H110" s="260">
        <f>F110+G110-E110*3</f>
        <v>-72994</v>
      </c>
      <c r="I110" s="281">
        <f>H110/E110</f>
        <v>-1.4831958385825172</v>
      </c>
      <c r="J110" s="281">
        <f>E110*12</f>
        <v>590568</v>
      </c>
      <c r="K110" s="281">
        <f>E110*15</f>
        <v>738210</v>
      </c>
      <c r="L110" s="279">
        <f t="shared" ref="L110:L112" si="49">E110*(15-I110)</f>
        <v>811204</v>
      </c>
      <c r="M110" s="279"/>
      <c r="N110" s="279"/>
      <c r="O110" s="281">
        <f>K110*C110</f>
        <v>9832.7379516300007</v>
      </c>
      <c r="P110" s="237" t="s">
        <v>352</v>
      </c>
    </row>
    <row r="111" spans="1:16" ht="23.25">
      <c r="A111" s="17">
        <v>2</v>
      </c>
      <c r="B111" s="36" t="s">
        <v>44</v>
      </c>
      <c r="C111" s="305">
        <v>0.1512</v>
      </c>
      <c r="D111" s="192">
        <v>75000</v>
      </c>
      <c r="E111" s="192">
        <v>5082.7</v>
      </c>
      <c r="F111" s="260">
        <v>13660</v>
      </c>
      <c r="G111" s="260">
        <v>15000</v>
      </c>
      <c r="H111" s="260">
        <f t="shared" ref="H111:H112" si="50">F111+G111-E111*3</f>
        <v>13411.900000000001</v>
      </c>
      <c r="I111" s="281">
        <f t="shared" ref="I111:I112" si="51">H111/E111</f>
        <v>2.6387353178428792</v>
      </c>
      <c r="J111" s="281">
        <f t="shared" ref="J111:J112" si="52">E111*12</f>
        <v>60992.399999999994</v>
      </c>
      <c r="K111" s="281">
        <f>E111*13</f>
        <v>66075.099999999991</v>
      </c>
      <c r="L111" s="279">
        <f t="shared" si="49"/>
        <v>62828.599999999991</v>
      </c>
      <c r="M111" s="279"/>
      <c r="N111" s="279"/>
      <c r="O111" s="281">
        <f t="shared" ref="O111:O112" si="53">K111*C111</f>
        <v>9990.5551199999991</v>
      </c>
    </row>
    <row r="112" spans="1:16">
      <c r="A112" s="17">
        <v>3</v>
      </c>
      <c r="B112" s="36" t="s">
        <v>353</v>
      </c>
      <c r="C112" s="289">
        <f>2.7*0.646</f>
        <v>1.7442000000000002</v>
      </c>
      <c r="D112" s="192">
        <v>78000</v>
      </c>
      <c r="E112" s="192">
        <v>168</v>
      </c>
      <c r="F112" s="260">
        <v>57480</v>
      </c>
      <c r="G112" s="260">
        <v>0</v>
      </c>
      <c r="H112" s="260">
        <f t="shared" si="50"/>
        <v>56976</v>
      </c>
      <c r="I112" s="281">
        <f t="shared" si="51"/>
        <v>339.14285714285717</v>
      </c>
      <c r="J112" s="281">
        <f t="shared" si="52"/>
        <v>2016</v>
      </c>
      <c r="K112" s="281">
        <v>78000</v>
      </c>
      <c r="L112" s="279">
        <f t="shared" si="49"/>
        <v>-54456.000000000007</v>
      </c>
      <c r="M112" s="279"/>
      <c r="N112" s="279"/>
      <c r="O112" s="281">
        <f t="shared" si="53"/>
        <v>136047.6</v>
      </c>
    </row>
    <row r="113" spans="1:16">
      <c r="O113" s="304">
        <v>155870.89000000001</v>
      </c>
    </row>
    <row r="114" spans="1:16">
      <c r="A114" s="254"/>
      <c r="B114" s="255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</row>
    <row r="115" spans="1:16">
      <c r="A115" s="460" t="s">
        <v>354</v>
      </c>
      <c r="B115" s="460"/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  <c r="N115" s="460"/>
      <c r="O115" s="460"/>
    </row>
    <row r="116" spans="1:16">
      <c r="A116" s="487" t="s">
        <v>355</v>
      </c>
      <c r="B116" s="487"/>
      <c r="C116" s="487"/>
      <c r="D116" s="487"/>
      <c r="E116" s="487"/>
      <c r="F116" s="487"/>
      <c r="G116" s="487"/>
      <c r="H116" s="487"/>
      <c r="I116" s="487"/>
      <c r="J116" s="487"/>
      <c r="K116" s="487"/>
      <c r="L116" s="487"/>
      <c r="M116" s="487"/>
      <c r="N116" s="487"/>
      <c r="O116" s="487"/>
    </row>
    <row r="117" spans="1:16" ht="45">
      <c r="A117" s="15" t="s">
        <v>0</v>
      </c>
      <c r="B117" s="16" t="s">
        <v>1</v>
      </c>
      <c r="C117" s="5" t="s">
        <v>326</v>
      </c>
      <c r="D117" s="5" t="s">
        <v>360</v>
      </c>
      <c r="E117" s="5" t="s">
        <v>358</v>
      </c>
      <c r="F117" s="5" t="s">
        <v>359</v>
      </c>
      <c r="G117" s="5" t="s">
        <v>361</v>
      </c>
      <c r="H117" s="5" t="s">
        <v>362</v>
      </c>
      <c r="I117" s="5" t="s">
        <v>363</v>
      </c>
      <c r="J117" s="5" t="s">
        <v>364</v>
      </c>
      <c r="K117" s="5" t="s">
        <v>365</v>
      </c>
      <c r="L117" s="5"/>
      <c r="M117" s="5"/>
      <c r="N117" s="5"/>
      <c r="O117" s="5" t="s">
        <v>366</v>
      </c>
    </row>
    <row r="118" spans="1:16" ht="23.25">
      <c r="A118" s="38">
        <v>1</v>
      </c>
      <c r="B118" s="23" t="s">
        <v>38</v>
      </c>
      <c r="C118" s="192">
        <v>4.6399999999999997</v>
      </c>
      <c r="D118" s="192">
        <v>110000</v>
      </c>
      <c r="E118" s="270">
        <v>3644.12</v>
      </c>
      <c r="F118" s="272">
        <v>110200</v>
      </c>
      <c r="G118" s="272">
        <v>0</v>
      </c>
      <c r="H118" s="272">
        <f>F118+G118-E118*3</f>
        <v>99267.64</v>
      </c>
      <c r="I118" s="272">
        <f>H118/E118</f>
        <v>27.240497019856647</v>
      </c>
      <c r="J118" s="282">
        <f>E118*12</f>
        <v>43729.440000000002</v>
      </c>
      <c r="K118" s="282">
        <v>0</v>
      </c>
      <c r="L118" s="279">
        <f t="shared" ref="L118:L120" si="54">E118*(15-I118)</f>
        <v>-44605.840000000004</v>
      </c>
      <c r="M118" s="279"/>
      <c r="N118" s="279"/>
      <c r="O118" s="282"/>
      <c r="P118" s="66" t="s">
        <v>356</v>
      </c>
    </row>
    <row r="119" spans="1:16" ht="23.25">
      <c r="A119" s="38">
        <v>2</v>
      </c>
      <c r="B119" s="23" t="s">
        <v>39</v>
      </c>
      <c r="C119" s="192">
        <v>8.1999999999999993</v>
      </c>
      <c r="D119" s="192">
        <v>25000</v>
      </c>
      <c r="E119" s="271">
        <v>1532.3</v>
      </c>
      <c r="F119" s="273">
        <v>25000</v>
      </c>
      <c r="G119" s="273">
        <v>0</v>
      </c>
      <c r="H119" s="272">
        <f t="shared" ref="H119:H120" si="55">F119+G119-E119*3</f>
        <v>20403.099999999999</v>
      </c>
      <c r="I119" s="272">
        <f t="shared" ref="I119:I120" si="56">H119/E119</f>
        <v>13.315342948508777</v>
      </c>
      <c r="J119" s="282">
        <f t="shared" ref="J119:J120" si="57">E119*12</f>
        <v>18387.599999999999</v>
      </c>
      <c r="K119" s="282">
        <v>0</v>
      </c>
      <c r="L119" s="279">
        <f t="shared" si="54"/>
        <v>2581.4000000000015</v>
      </c>
      <c r="M119" s="279"/>
      <c r="N119" s="279"/>
      <c r="O119" s="282"/>
    </row>
    <row r="120" spans="1:16" ht="34.5">
      <c r="A120" s="38">
        <v>3</v>
      </c>
      <c r="B120" s="23" t="s">
        <v>40</v>
      </c>
      <c r="C120" s="290">
        <f>1.7832*2.7</f>
        <v>4.8146399999999998</v>
      </c>
      <c r="D120" s="192">
        <v>32652</v>
      </c>
      <c r="E120" s="192">
        <v>2346</v>
      </c>
      <c r="F120" s="192">
        <v>7560</v>
      </c>
      <c r="G120" s="192">
        <v>12654</v>
      </c>
      <c r="H120" s="272">
        <f t="shared" si="55"/>
        <v>13176</v>
      </c>
      <c r="I120" s="272">
        <f t="shared" si="56"/>
        <v>5.6163682864450131</v>
      </c>
      <c r="J120" s="282">
        <f t="shared" si="57"/>
        <v>28152</v>
      </c>
      <c r="K120" s="282">
        <v>32600</v>
      </c>
      <c r="L120" s="279">
        <f t="shared" si="54"/>
        <v>22014</v>
      </c>
      <c r="M120" s="279"/>
      <c r="N120" s="279"/>
      <c r="O120" s="282">
        <f>K120*C120</f>
        <v>156957.264</v>
      </c>
      <c r="P120" s="256" t="s">
        <v>357</v>
      </c>
    </row>
    <row r="121" spans="1:16" s="37" customFormat="1">
      <c r="A121" s="67"/>
      <c r="B121" s="86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306">
        <v>156957.26</v>
      </c>
    </row>
    <row r="122" spans="1:16">
      <c r="A122" s="254"/>
      <c r="B122" s="255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</row>
    <row r="126" spans="1:16">
      <c r="O126" s="89">
        <f>O121+O113+O105+O92+K47+O27</f>
        <v>14625029.071900001</v>
      </c>
    </row>
  </sheetData>
  <mergeCells count="25">
    <mergeCell ref="A116:O116"/>
    <mergeCell ref="A94:O94"/>
    <mergeCell ref="A95:O95"/>
    <mergeCell ref="P97:P99"/>
    <mergeCell ref="A107:O107"/>
    <mergeCell ref="A108:O108"/>
    <mergeCell ref="A115:O115"/>
    <mergeCell ref="A88:O88"/>
    <mergeCell ref="R33:R35"/>
    <mergeCell ref="A39:O39"/>
    <mergeCell ref="A43:O43"/>
    <mergeCell ref="A49:O49"/>
    <mergeCell ref="A50:O50"/>
    <mergeCell ref="A54:O54"/>
    <mergeCell ref="A58:O58"/>
    <mergeCell ref="A65:O65"/>
    <mergeCell ref="A71:O71"/>
    <mergeCell ref="C79:O79"/>
    <mergeCell ref="A81:O81"/>
    <mergeCell ref="A30:O30"/>
    <mergeCell ref="A2:O2"/>
    <mergeCell ref="A3:O3"/>
    <mergeCell ref="A15:O15"/>
    <mergeCell ref="A23:O23"/>
    <mergeCell ref="A29:O2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დიაბეტი</vt:lpstr>
      <vt:lpstr>ინკურაბელური</vt:lpstr>
      <vt:lpstr>დიალიზი</vt:lpstr>
      <vt:lpstr>იშვიათი</vt:lpstr>
      <vt:lpstr>ნარკომანია</vt:lpstr>
      <vt:lpstr>დედათა და ბავშვთა</vt:lpstr>
      <vt:lpstr>HCV</vt:lpstr>
      <vt:lpstr>დეფიციტი პროფიციტი</vt:lpstr>
      <vt:lpstr>2017 ბიუჯეტი</vt:lpstr>
      <vt:lpstr>ჰემოფილია ჩემი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Gvantsa Gasviani</cp:lastModifiedBy>
  <cp:lastPrinted>2016-09-05T13:01:51Z</cp:lastPrinted>
  <dcterms:created xsi:type="dcterms:W3CDTF">2014-10-07T06:00:31Z</dcterms:created>
  <dcterms:modified xsi:type="dcterms:W3CDTF">2016-10-10T11:32:49Z</dcterms:modified>
</cp:coreProperties>
</file>